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nown Volume" sheetId="1" r:id="rId1"/>
    <sheet name="Added Mass" sheetId="2" r:id="rId2"/>
  </sheets>
  <definedNames>
    <definedName name="fb">'Known Volume'!$I$10</definedName>
    <definedName name="Fh">'Known Volume'!$D$29</definedName>
    <definedName name="Fl">'Known Volume'!$D$30</definedName>
    <definedName name="Fs">'Known Volume'!$D$19</definedName>
    <definedName name="Im">'Known Volume'!$D$22</definedName>
    <definedName name="Ir">'Known Volume'!$D$23</definedName>
    <definedName name="Is">'Known Volume'!$D$16</definedName>
    <definedName name="Qes">'Known Volume'!$D$34</definedName>
    <definedName name="Qms">'Known Volume'!$D$33</definedName>
    <definedName name="r0">'Known Volume'!$D$24</definedName>
    <definedName name="Re">'Known Volume'!$D$10</definedName>
    <definedName name="Rm">'Known Volume'!$D$21</definedName>
    <definedName name="Rs">'Known Volume'!$D$9</definedName>
    <definedName name="Vb">'Known Volume'!$I$8</definedName>
    <definedName name="vc">'Known Volume'!$I$9</definedName>
    <definedName name="Vm">'Known Volume'!$D$18</definedName>
    <definedName name="Vr">'Known Volume'!$D$25</definedName>
    <definedName name="Vref">'Known Volume'!$D$15</definedName>
    <definedName name="Vs">'Known Volume'!$D$8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10" authorId="0">
      <text>
        <r>
          <rPr>
            <sz val="8"/>
            <color indexed="8"/>
            <rFont val="Tahoma"/>
            <family val="2"/>
          </rPr>
          <t xml:space="preserve">Measure very carefully. Small errors here cause large errors in result.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Normal air density at sea level. Adjust if you are located at a significant elevation.
</t>
        </r>
      </text>
    </comment>
    <comment ref="I20" authorId="0">
      <text>
        <r>
          <rPr>
            <sz val="8"/>
            <color indexed="8"/>
            <rFont val="Tahoma"/>
            <family val="2"/>
          </rPr>
          <t xml:space="preserve">Speed of sound at sea level and 23 degrees C. Adjust as required.
</t>
        </r>
      </text>
    </comment>
  </commentList>
</comments>
</file>

<file path=xl/sharedStrings.xml><?xml version="1.0" encoding="utf-8"?>
<sst xmlns="http://schemas.openxmlformats.org/spreadsheetml/2006/main" count="177" uniqueCount="87">
  <si>
    <t>Driver name</t>
  </si>
  <si>
    <t>Demo 250mm</t>
  </si>
  <si>
    <t>Enter the values in the shaded boxes.  Values in bold are calculated</t>
  </si>
  <si>
    <t>Calculate Qms, Qes and Qts</t>
  </si>
  <si>
    <t>Calculate Vas</t>
  </si>
  <si>
    <t>Source voltage at amplifier terminals</t>
  </si>
  <si>
    <t>Vs</t>
  </si>
  <si>
    <t>mV</t>
  </si>
  <si>
    <t>Box Volume</t>
  </si>
  <si>
    <t>Vb</t>
  </si>
  <si>
    <t>Litres</t>
  </si>
  <si>
    <t>Source DC resistance</t>
  </si>
  <si>
    <t>Rs</t>
  </si>
  <si>
    <t>Ohms</t>
  </si>
  <si>
    <t>Cone Volume</t>
  </si>
  <si>
    <t>Vc</t>
  </si>
  <si>
    <t>Speaker voice coil DC resistance</t>
  </si>
  <si>
    <t>Re</t>
  </si>
  <si>
    <t>Resonance in box</t>
  </si>
  <si>
    <t>Fb</t>
  </si>
  <si>
    <t>Hertz</t>
  </si>
  <si>
    <t>Adjust F to at least 2 octaves above resonance.  Check that varying frequency causes</t>
  </si>
  <si>
    <t>Vas</t>
  </si>
  <si>
    <t>little or no change in voltage.  Compare voltage reading with Vref - they should be within 10%</t>
  </si>
  <si>
    <t>Voltage across Rs</t>
  </si>
  <si>
    <t>Vref</t>
  </si>
  <si>
    <t>Source current</t>
  </si>
  <si>
    <t>Is</t>
  </si>
  <si>
    <t>mA</t>
  </si>
  <si>
    <t>Cone Volume Calculations</t>
  </si>
  <si>
    <t>Voltage across Rs at resonance</t>
  </si>
  <si>
    <t>Vm</t>
  </si>
  <si>
    <t>Cutout diameter</t>
  </si>
  <si>
    <t>mm</t>
  </si>
  <si>
    <t>Resonance frequency</t>
  </si>
  <si>
    <t>Fs</t>
  </si>
  <si>
    <t>Baffle thickness</t>
  </si>
  <si>
    <t>Cone Diameter</t>
  </si>
  <si>
    <t>Speaker impedance at resonance (Rm)</t>
  </si>
  <si>
    <t>Rm</t>
  </si>
  <si>
    <t>Dustcap Diameter</t>
  </si>
  <si>
    <t>Current flow at resonance</t>
  </si>
  <si>
    <t>Im</t>
  </si>
  <si>
    <t>Average cone depth</t>
  </si>
  <si>
    <t>-6dB current</t>
  </si>
  <si>
    <t>Ir</t>
  </si>
  <si>
    <t>r0</t>
  </si>
  <si>
    <t>Approximate cone volume</t>
  </si>
  <si>
    <t>-6dB voltage</t>
  </si>
  <si>
    <t>Vr</t>
  </si>
  <si>
    <t>Carefully adjust frequency until Vr is observed across Rs, above and below resonance.  Enter the frequencies.</t>
  </si>
  <si>
    <t>Frequency above Fs for stated voltage</t>
  </si>
  <si>
    <t>Fh</t>
  </si>
  <si>
    <t>Reference Data</t>
  </si>
  <si>
    <t>Frequency below Fs for stated voltage</t>
  </si>
  <si>
    <t>Fl</t>
  </si>
  <si>
    <t>Use this information to create an equivalent</t>
  </si>
  <si>
    <t>Fs sanity check (should equal Fs)</t>
  </si>
  <si>
    <t>circuit of the driver's resonant circuit.</t>
  </si>
  <si>
    <t>Mechanical Q</t>
  </si>
  <si>
    <t>Qms</t>
  </si>
  <si>
    <t>Capacitance</t>
  </si>
  <si>
    <t>uF</t>
  </si>
  <si>
    <t>Electrical Q</t>
  </si>
  <si>
    <t>Qes</t>
  </si>
  <si>
    <t>Inductance</t>
  </si>
  <si>
    <t>mH</t>
  </si>
  <si>
    <t>Total Q of driver</t>
  </si>
  <si>
    <t>Qts</t>
  </si>
  <si>
    <t>Parallel resistor</t>
  </si>
  <si>
    <r>
      <t xml:space="preserve">Enter values </t>
    </r>
    <r>
      <rPr>
        <b/>
        <sz val="12"/>
        <rFont val="Arial"/>
        <family val="2"/>
      </rPr>
      <t>only</t>
    </r>
    <r>
      <rPr>
        <sz val="12"/>
        <rFont val="Arial"/>
        <family val="2"/>
      </rPr>
      <t xml:space="preserve"> in shaded boxes.  Values in bold are calculated.  Driver details are entered in "Known Volume" Sheet</t>
    </r>
  </si>
  <si>
    <t xml:space="preserve"> </t>
  </si>
  <si>
    <t>D</t>
  </si>
  <si>
    <t>Cone Area</t>
  </si>
  <si>
    <t>A</t>
  </si>
  <si>
    <t>Sq Cm</t>
  </si>
  <si>
    <t>Added Mass Res.</t>
  </si>
  <si>
    <t>Fs1</t>
  </si>
  <si>
    <t>Added Mass Calculations</t>
  </si>
  <si>
    <t>Mass Added</t>
  </si>
  <si>
    <t>g</t>
  </si>
  <si>
    <t>Air Density</t>
  </si>
  <si>
    <t>g/cc</t>
  </si>
  <si>
    <t>Velocity of Sound</t>
  </si>
  <si>
    <t>m/s</t>
  </si>
  <si>
    <t>Cone Mass (Incl. Air Load)</t>
  </si>
  <si>
    <t>CMS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</si>
</sst>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_)"/>
    <numFmt numFmtId="166" formatCode="0.00"/>
    <numFmt numFmtId="167" formatCode="0.000000000000"/>
    <numFmt numFmtId="168" formatCode="0.000000"/>
    <numFmt numFmtId="169" formatCode="0.00E+00"/>
    <numFmt numFmtId="170" formatCode="0.00000E+00"/>
  </numFmts>
  <fonts count="13">
    <font>
      <sz val="12"/>
      <name val="Arial"/>
      <family val="2"/>
    </font>
    <font>
      <sz val="10"/>
      <name val="Arial"/>
      <family val="0"/>
    </font>
    <font>
      <sz val="10"/>
      <color indexed="8"/>
      <name val="Courier New"/>
      <family val="3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2"/>
      <color indexed="9"/>
      <name val="Arial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2" borderId="0" xfId="0" applyFill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5" fontId="2" fillId="2" borderId="2" xfId="0" applyNumberFormat="1" applyFont="1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/>
      <protection/>
    </xf>
    <xf numFmtId="166" fontId="0" fillId="2" borderId="2" xfId="0" applyNumberForma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5" fontId="4" fillId="3" borderId="5" xfId="0" applyNumberFormat="1" applyFont="1" applyFill="1" applyBorder="1" applyAlignment="1" applyProtection="1">
      <alignment/>
      <protection/>
    </xf>
    <xf numFmtId="164" fontId="0" fillId="3" borderId="6" xfId="0" applyFill="1" applyBorder="1" applyAlignment="1" applyProtection="1">
      <alignment horizontal="left"/>
      <protection/>
    </xf>
    <xf numFmtId="166" fontId="0" fillId="2" borderId="0" xfId="0" applyNumberFormat="1" applyFill="1" applyBorder="1" applyAlignment="1" applyProtection="1">
      <alignment/>
      <protection/>
    </xf>
    <xf numFmtId="164" fontId="0" fillId="2" borderId="7" xfId="0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/>
      <protection/>
    </xf>
    <xf numFmtId="165" fontId="5" fillId="2" borderId="0" xfId="0" applyNumberFormat="1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 horizontal="left"/>
      <protection/>
    </xf>
    <xf numFmtId="165" fontId="7" fillId="3" borderId="8" xfId="0" applyNumberFormat="1" applyFont="1" applyFill="1" applyBorder="1" applyAlignment="1" applyProtection="1">
      <alignment/>
      <protection/>
    </xf>
    <xf numFmtId="164" fontId="1" fillId="2" borderId="8" xfId="0" applyFont="1" applyFill="1" applyBorder="1" applyAlignment="1" applyProtection="1">
      <alignment horizontal="left"/>
      <protection/>
    </xf>
    <xf numFmtId="166" fontId="0" fillId="3" borderId="8" xfId="0" applyNumberFormat="1" applyFill="1" applyBorder="1" applyAlignment="1" applyProtection="1">
      <alignment/>
      <protection/>
    </xf>
    <xf numFmtId="166" fontId="3" fillId="2" borderId="9" xfId="0" applyNumberFormat="1" applyFont="1" applyFill="1" applyBorder="1" applyAlignment="1" applyProtection="1">
      <alignment/>
      <protection/>
    </xf>
    <xf numFmtId="165" fontId="7" fillId="2" borderId="0" xfId="0" applyNumberFormat="1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8" fillId="2" borderId="4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8" fillId="2" borderId="0" xfId="0" applyFont="1" applyFill="1" applyBorder="1" applyAlignment="1" applyProtection="1">
      <alignment horizontal="left"/>
      <protection/>
    </xf>
    <xf numFmtId="164" fontId="8" fillId="2" borderId="0" xfId="0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/>
      <protection/>
    </xf>
    <xf numFmtId="164" fontId="8" fillId="2" borderId="7" xfId="0" applyFont="1" applyFill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9" fillId="2" borderId="0" xfId="0" applyFont="1" applyFill="1" applyBorder="1" applyAlignment="1" applyProtection="1">
      <alignment/>
      <protection/>
    </xf>
    <xf numFmtId="166" fontId="9" fillId="2" borderId="0" xfId="0" applyNumberFormat="1" applyFont="1" applyFill="1" applyBorder="1" applyAlignment="1" applyProtection="1">
      <alignment/>
      <protection/>
    </xf>
    <xf numFmtId="165" fontId="10" fillId="2" borderId="0" xfId="0" applyNumberFormat="1" applyFont="1" applyFill="1" applyBorder="1" applyAlignment="1" applyProtection="1">
      <alignment/>
      <protection/>
    </xf>
    <xf numFmtId="164" fontId="0" fillId="2" borderId="5" xfId="0" applyFont="1" applyFill="1" applyBorder="1" applyAlignment="1" applyProtection="1">
      <alignment/>
      <protection/>
    </xf>
    <xf numFmtId="164" fontId="0" fillId="2" borderId="9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/>
      <protection/>
    </xf>
    <xf numFmtId="164" fontId="11" fillId="2" borderId="0" xfId="0" applyFont="1" applyFill="1" applyBorder="1" applyAlignment="1" applyProtection="1">
      <alignment/>
      <protection hidden="1"/>
    </xf>
    <xf numFmtId="166" fontId="11" fillId="2" borderId="0" xfId="0" applyNumberFormat="1" applyFont="1" applyFill="1" applyBorder="1" applyAlignment="1" applyProtection="1">
      <alignment/>
      <protection hidden="1"/>
    </xf>
    <xf numFmtId="164" fontId="0" fillId="2" borderId="6" xfId="0" applyFont="1" applyFill="1" applyBorder="1" applyAlignment="1" applyProtection="1">
      <alignment horizontal="left"/>
      <protection/>
    </xf>
    <xf numFmtId="166" fontId="11" fillId="2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4" fontId="0" fillId="2" borderId="10" xfId="0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/>
      <protection/>
    </xf>
    <xf numFmtId="164" fontId="3" fillId="2" borderId="10" xfId="0" applyFont="1" applyFill="1" applyBorder="1" applyAlignment="1" applyProtection="1">
      <alignment/>
      <protection/>
    </xf>
    <xf numFmtId="165" fontId="10" fillId="2" borderId="10" xfId="0" applyNumberFormat="1" applyFont="1" applyFill="1" applyBorder="1" applyAlignment="1" applyProtection="1">
      <alignment/>
      <protection/>
    </xf>
    <xf numFmtId="164" fontId="0" fillId="2" borderId="10" xfId="0" applyFill="1" applyBorder="1" applyAlignment="1" applyProtection="1">
      <alignment horizontal="left"/>
      <protection/>
    </xf>
    <xf numFmtId="166" fontId="3" fillId="2" borderId="10" xfId="0" applyNumberFormat="1" applyFont="1" applyFill="1" applyBorder="1" applyAlignment="1" applyProtection="1">
      <alignment/>
      <protection/>
    </xf>
    <xf numFmtId="164" fontId="0" fillId="2" borderId="11" xfId="0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2" xfId="0" applyFill="1" applyBorder="1" applyAlignment="1">
      <alignment horizontal="center"/>
    </xf>
    <xf numFmtId="165" fontId="2" fillId="2" borderId="2" xfId="0" applyNumberFormat="1" applyFont="1" applyFill="1" applyBorder="1" applyAlignment="1">
      <alignment/>
    </xf>
    <xf numFmtId="164" fontId="0" fillId="2" borderId="2" xfId="0" applyFill="1" applyBorder="1" applyAlignment="1">
      <alignment horizontal="left"/>
    </xf>
    <xf numFmtId="166" fontId="0" fillId="2" borderId="2" xfId="0" applyNumberForma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ill="1" applyBorder="1" applyAlignment="1">
      <alignment horizontal="center"/>
    </xf>
    <xf numFmtId="165" fontId="4" fillId="4" borderId="5" xfId="0" applyNumberFormat="1" applyFont="1" applyFill="1" applyBorder="1" applyAlignment="1">
      <alignment/>
    </xf>
    <xf numFmtId="164" fontId="0" fillId="4" borderId="6" xfId="0" applyFill="1" applyBorder="1" applyAlignment="1">
      <alignment horizontal="left"/>
    </xf>
    <xf numFmtId="164" fontId="0" fillId="2" borderId="0" xfId="0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7" xfId="0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4" fontId="0" fillId="2" borderId="0" xfId="0" applyFill="1" applyBorder="1" applyAlignment="1">
      <alignment horizontal="left"/>
    </xf>
    <xf numFmtId="164" fontId="0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8" xfId="0" applyFont="1" applyFill="1" applyBorder="1" applyAlignment="1">
      <alignment horizontal="left"/>
    </xf>
    <xf numFmtId="165" fontId="7" fillId="4" borderId="8" xfId="0" applyNumberFormat="1" applyFont="1" applyFill="1" applyBorder="1" applyAlignment="1" applyProtection="1">
      <alignment/>
      <protection/>
    </xf>
    <xf numFmtId="164" fontId="1" fillId="2" borderId="8" xfId="0" applyFont="1" applyFill="1" applyBorder="1" applyAlignment="1">
      <alignment horizontal="left"/>
    </xf>
    <xf numFmtId="166" fontId="0" fillId="3" borderId="8" xfId="0" applyNumberFormat="1" applyFill="1" applyBorder="1" applyAlignment="1">
      <alignment/>
    </xf>
    <xf numFmtId="166" fontId="3" fillId="2" borderId="9" xfId="0" applyNumberFormat="1" applyFont="1" applyFill="1" applyBorder="1" applyAlignment="1">
      <alignment/>
    </xf>
    <xf numFmtId="165" fontId="7" fillId="2" borderId="0" xfId="0" applyNumberFormat="1" applyFont="1" applyFill="1" applyBorder="1" applyAlignment="1" applyProtection="1">
      <alignment/>
      <protection locked="0"/>
    </xf>
    <xf numFmtId="164" fontId="1" fillId="2" borderId="0" xfId="0" applyFont="1" applyFill="1" applyBorder="1" applyAlignment="1">
      <alignment horizontal="left"/>
    </xf>
    <xf numFmtId="164" fontId="8" fillId="2" borderId="4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/>
    </xf>
    <xf numFmtId="164" fontId="8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4" fontId="8" fillId="2" borderId="7" xfId="0" applyFont="1" applyFill="1" applyBorder="1" applyAlignment="1">
      <alignment/>
    </xf>
    <xf numFmtId="166" fontId="8" fillId="2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2" borderId="0" xfId="0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7" fontId="8" fillId="2" borderId="0" xfId="0" applyNumberFormat="1" applyFont="1" applyFill="1" applyAlignment="1">
      <alignment/>
    </xf>
    <xf numFmtId="164" fontId="0" fillId="2" borderId="0" xfId="0" applyFill="1" applyBorder="1" applyAlignment="1">
      <alignment horizontal="left" vertical="center"/>
    </xf>
    <xf numFmtId="164" fontId="0" fillId="2" borderId="5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6" xfId="0" applyFont="1" applyFill="1" applyBorder="1" applyAlignment="1">
      <alignment/>
    </xf>
    <xf numFmtId="168" fontId="0" fillId="3" borderId="8" xfId="0" applyNumberFormat="1" applyFill="1" applyBorder="1" applyAlignment="1">
      <alignment/>
    </xf>
    <xf numFmtId="166" fontId="3" fillId="2" borderId="8" xfId="0" applyNumberFormat="1" applyFont="1" applyFill="1" applyBorder="1" applyAlignment="1">
      <alignment/>
    </xf>
    <xf numFmtId="169" fontId="3" fillId="2" borderId="8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left"/>
    </xf>
    <xf numFmtId="166" fontId="0" fillId="0" borderId="0" xfId="0" applyNumberFormat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4" fontId="0" fillId="2" borderId="12" xfId="0" applyFill="1" applyBorder="1" applyAlignment="1">
      <alignment/>
    </xf>
    <xf numFmtId="164" fontId="0" fillId="2" borderId="10" xfId="0" applyFont="1" applyFill="1" applyBorder="1" applyAlignment="1">
      <alignment/>
    </xf>
    <xf numFmtId="164" fontId="3" fillId="2" borderId="10" xfId="0" applyFont="1" applyFill="1" applyBorder="1" applyAlignment="1">
      <alignment/>
    </xf>
    <xf numFmtId="164" fontId="0" fillId="2" borderId="10" xfId="0" applyFill="1" applyBorder="1" applyAlignment="1">
      <alignment horizontal="left"/>
    </xf>
    <xf numFmtId="166" fontId="3" fillId="2" borderId="10" xfId="0" applyNumberFormat="1" applyFont="1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0" xfId="0" applyFill="1" applyAlignment="1">
      <alignment horizontal="center"/>
    </xf>
    <xf numFmtId="165" fontId="2" fillId="2" borderId="0" xfId="0" applyNumberFormat="1" applyFont="1" applyFill="1" applyAlignment="1">
      <alignment/>
    </xf>
    <xf numFmtId="164" fontId="0" fillId="2" borderId="0" xfId="0" applyFill="1" applyAlignment="1">
      <alignment horizontal="left"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87" zoomScaleNormal="87" workbookViewId="0" topLeftCell="A1">
      <selection activeCell="M18" sqref="M18"/>
    </sheetView>
  </sheetViews>
  <sheetFormatPr defaultColWidth="12.4453125" defaultRowHeight="15"/>
  <cols>
    <col min="1" max="1" width="4.21484375" style="1" customWidth="1"/>
    <col min="2" max="2" width="42.6640625" style="2" customWidth="1"/>
    <col min="3" max="3" width="6.4453125" style="3" customWidth="1"/>
    <col min="4" max="4" width="12.77734375" style="4" customWidth="1"/>
    <col min="5" max="5" width="12.77734375" style="5" customWidth="1"/>
    <col min="6" max="6" width="4.21484375" style="2" customWidth="1"/>
    <col min="7" max="7" width="21.3359375" style="2" customWidth="1"/>
    <col min="8" max="8" width="6.4453125" style="2" customWidth="1"/>
    <col min="9" max="9" width="12.77734375" style="6" customWidth="1"/>
    <col min="10" max="10" width="8.5546875" style="2" customWidth="1"/>
    <col min="11" max="11" width="4.21484375" style="2" customWidth="1"/>
    <col min="12" max="16384" width="11.4453125" style="2" customWidth="1"/>
  </cols>
  <sheetData>
    <row r="1" spans="1:11" s="1" customFormat="1" ht="13.5" customHeight="1">
      <c r="A1" s="7"/>
      <c r="B1" s="8"/>
      <c r="C1" s="9"/>
      <c r="D1" s="10"/>
      <c r="E1" s="11"/>
      <c r="F1" s="8"/>
      <c r="G1" s="8"/>
      <c r="H1" s="8"/>
      <c r="I1" s="12"/>
      <c r="J1" s="8"/>
      <c r="K1" s="13"/>
    </row>
    <row r="2" spans="1:19" ht="12.75">
      <c r="A2" s="14"/>
      <c r="B2" s="15" t="s">
        <v>0</v>
      </c>
      <c r="C2" s="16"/>
      <c r="D2" s="17" t="s">
        <v>1</v>
      </c>
      <c r="E2" s="18"/>
      <c r="F2" s="1"/>
      <c r="G2" s="1"/>
      <c r="H2" s="1"/>
      <c r="I2" s="19"/>
      <c r="J2" s="1"/>
      <c r="K2" s="20"/>
      <c r="L2" s="1"/>
      <c r="M2" s="1"/>
      <c r="N2" s="1"/>
      <c r="O2" s="1"/>
      <c r="P2" s="1"/>
      <c r="Q2" s="1"/>
      <c r="R2" s="1"/>
      <c r="S2" s="1"/>
    </row>
    <row r="3" spans="1:19" ht="13.5" customHeight="1">
      <c r="A3" s="14"/>
      <c r="B3" s="15"/>
      <c r="C3" s="16"/>
      <c r="D3" s="21"/>
      <c r="E3" s="22"/>
      <c r="F3" s="1"/>
      <c r="G3" s="1"/>
      <c r="H3" s="1"/>
      <c r="I3" s="19"/>
      <c r="J3" s="1"/>
      <c r="K3" s="20"/>
      <c r="L3" s="1"/>
      <c r="M3" s="1"/>
      <c r="N3" s="1"/>
      <c r="O3" s="1"/>
      <c r="P3" s="1"/>
      <c r="Q3" s="1"/>
      <c r="R3" s="1"/>
      <c r="S3" s="1"/>
    </row>
    <row r="4" spans="1:19" ht="12.75">
      <c r="A4" s="14"/>
      <c r="B4" s="23" t="s">
        <v>2</v>
      </c>
      <c r="C4" s="16"/>
      <c r="D4" s="24"/>
      <c r="E4" s="22"/>
      <c r="F4" s="1"/>
      <c r="G4" s="1"/>
      <c r="H4" s="1"/>
      <c r="I4" s="19"/>
      <c r="J4" s="1"/>
      <c r="K4" s="20"/>
      <c r="L4" s="1"/>
      <c r="M4" s="1"/>
      <c r="N4" s="1"/>
      <c r="O4" s="1"/>
      <c r="P4" s="1"/>
      <c r="Q4" s="1"/>
      <c r="R4" s="1"/>
      <c r="S4" s="1"/>
    </row>
    <row r="5" spans="1:19" ht="13.5" customHeight="1">
      <c r="A5" s="14"/>
      <c r="B5" s="23"/>
      <c r="C5" s="16"/>
      <c r="D5" s="24"/>
      <c r="E5" s="22"/>
      <c r="F5" s="1"/>
      <c r="G5" s="1"/>
      <c r="H5" s="1"/>
      <c r="I5" s="19"/>
      <c r="J5" s="1"/>
      <c r="K5" s="20"/>
      <c r="L5" s="1"/>
      <c r="M5" s="1"/>
      <c r="N5" s="1"/>
      <c r="O5" s="1"/>
      <c r="P5" s="1"/>
      <c r="Q5" s="1"/>
      <c r="R5" s="1"/>
      <c r="S5" s="1"/>
    </row>
    <row r="6" spans="1:19" ht="12.75">
      <c r="A6" s="14"/>
      <c r="B6" s="25" t="s">
        <v>3</v>
      </c>
      <c r="C6" s="16"/>
      <c r="D6" s="24"/>
      <c r="E6" s="22"/>
      <c r="F6" s="1"/>
      <c r="G6" s="25" t="s">
        <v>4</v>
      </c>
      <c r="H6" s="1"/>
      <c r="I6" s="19"/>
      <c r="J6" s="1"/>
      <c r="K6" s="20"/>
      <c r="L6" s="1"/>
      <c r="M6" s="1"/>
      <c r="N6" s="1"/>
      <c r="O6" s="1"/>
      <c r="P6" s="1"/>
      <c r="Q6" s="1"/>
      <c r="R6" s="1"/>
      <c r="S6" s="1"/>
    </row>
    <row r="7" spans="1:19" ht="13.5" customHeight="1">
      <c r="A7" s="14"/>
      <c r="C7" s="16"/>
      <c r="D7" s="26"/>
      <c r="E7" s="22"/>
      <c r="F7" s="1"/>
      <c r="G7" s="1"/>
      <c r="H7" s="1"/>
      <c r="I7" s="19"/>
      <c r="J7" s="1"/>
      <c r="K7" s="20"/>
      <c r="L7" s="1"/>
      <c r="M7" s="1"/>
      <c r="N7" s="1"/>
      <c r="O7" s="1"/>
      <c r="P7" s="1"/>
      <c r="Q7" s="1"/>
      <c r="R7" s="1"/>
      <c r="S7" s="1"/>
    </row>
    <row r="8" spans="1:19" ht="12.75">
      <c r="A8" s="14"/>
      <c r="B8" s="27" t="s">
        <v>5</v>
      </c>
      <c r="C8" s="28" t="s">
        <v>6</v>
      </c>
      <c r="D8" s="29">
        <v>1000</v>
      </c>
      <c r="E8" s="30" t="s">
        <v>7</v>
      </c>
      <c r="F8" s="1"/>
      <c r="G8" s="27" t="s">
        <v>8</v>
      </c>
      <c r="H8" s="27" t="s">
        <v>9</v>
      </c>
      <c r="I8" s="31">
        <v>27</v>
      </c>
      <c r="J8" s="27" t="s">
        <v>10</v>
      </c>
      <c r="K8" s="20"/>
      <c r="L8" s="1"/>
      <c r="M8" s="1"/>
      <c r="N8" s="1"/>
      <c r="O8" s="1"/>
      <c r="P8" s="1"/>
      <c r="Q8" s="1"/>
      <c r="R8" s="1"/>
      <c r="S8" s="1"/>
    </row>
    <row r="9" spans="1:19" ht="12.75">
      <c r="A9" s="14"/>
      <c r="B9" s="27" t="s">
        <v>11</v>
      </c>
      <c r="C9" s="28" t="s">
        <v>12</v>
      </c>
      <c r="D9" s="29">
        <v>10</v>
      </c>
      <c r="E9" s="30" t="s">
        <v>13</v>
      </c>
      <c r="F9" s="1"/>
      <c r="G9" s="27" t="s">
        <v>14</v>
      </c>
      <c r="H9" s="27" t="s">
        <v>15</v>
      </c>
      <c r="I9" s="32">
        <f>I24</f>
        <v>1.4726215563702154</v>
      </c>
      <c r="J9" s="27" t="s">
        <v>10</v>
      </c>
      <c r="K9" s="20"/>
      <c r="L9" s="1"/>
      <c r="M9" s="1"/>
      <c r="N9" s="1"/>
      <c r="O9" s="1"/>
      <c r="P9" s="1"/>
      <c r="Q9" s="1"/>
      <c r="R9" s="1"/>
      <c r="S9" s="1"/>
    </row>
    <row r="10" spans="1:19" ht="12.75">
      <c r="A10" s="14"/>
      <c r="B10" s="27" t="s">
        <v>16</v>
      </c>
      <c r="C10" s="28" t="s">
        <v>17</v>
      </c>
      <c r="D10" s="29">
        <v>6.2</v>
      </c>
      <c r="E10" s="30" t="s">
        <v>13</v>
      </c>
      <c r="F10" s="1"/>
      <c r="G10" s="27" t="s">
        <v>18</v>
      </c>
      <c r="H10" s="27" t="s">
        <v>19</v>
      </c>
      <c r="I10" s="31">
        <v>42</v>
      </c>
      <c r="J10" s="27" t="s">
        <v>20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4"/>
      <c r="B11" s="1"/>
      <c r="C11" s="22"/>
      <c r="D11" s="33"/>
      <c r="E11" s="34"/>
      <c r="F11" s="1"/>
      <c r="G11" s="1"/>
      <c r="H11" s="1"/>
      <c r="I11" s="19"/>
      <c r="J11" s="1"/>
      <c r="K11" s="20"/>
      <c r="L11" s="1"/>
      <c r="M11" s="1"/>
      <c r="N11" s="1"/>
      <c r="O11" s="1"/>
      <c r="P11" s="1"/>
      <c r="Q11" s="1"/>
      <c r="R11" s="1"/>
      <c r="S11" s="1"/>
    </row>
    <row r="12" spans="1:19" s="41" customFormat="1" ht="15" customHeight="1">
      <c r="A12" s="35"/>
      <c r="B12" s="36" t="s">
        <v>21</v>
      </c>
      <c r="C12" s="37"/>
      <c r="D12" s="33"/>
      <c r="E12" s="37"/>
      <c r="F12" s="38"/>
      <c r="G12" s="38"/>
      <c r="H12" s="15" t="s">
        <v>22</v>
      </c>
      <c r="I12" s="39">
        <f>(Vb+vc)*((fb/Fs)^2-1)</f>
        <v>40.42409233311821</v>
      </c>
      <c r="J12" s="23" t="s">
        <v>10</v>
      </c>
      <c r="K12" s="40"/>
      <c r="L12" s="38"/>
      <c r="M12" s="38"/>
      <c r="N12" s="38"/>
      <c r="O12" s="38"/>
      <c r="P12" s="38"/>
      <c r="Q12" s="38"/>
      <c r="R12" s="38"/>
      <c r="S12" s="38"/>
    </row>
    <row r="13" spans="1:19" s="41" customFormat="1" ht="15" customHeight="1">
      <c r="A13" s="35"/>
      <c r="B13" s="36" t="s">
        <v>23</v>
      </c>
      <c r="C13" s="37"/>
      <c r="D13" s="33"/>
      <c r="E13" s="37"/>
      <c r="F13" s="38"/>
      <c r="G13" s="38"/>
      <c r="H13" s="42"/>
      <c r="I13" s="43"/>
      <c r="J13" s="38"/>
      <c r="K13" s="40"/>
      <c r="L13" s="38"/>
      <c r="M13" s="38"/>
      <c r="N13" s="38"/>
      <c r="O13" s="38"/>
      <c r="P13" s="38"/>
      <c r="Q13" s="38"/>
      <c r="R13" s="38"/>
      <c r="S13" s="38"/>
    </row>
    <row r="14" spans="1:19" s="41" customFormat="1" ht="13.5" customHeight="1">
      <c r="A14" s="35"/>
      <c r="B14" s="38"/>
      <c r="C14" s="37"/>
      <c r="D14" s="33"/>
      <c r="E14" s="37"/>
      <c r="F14" s="38"/>
      <c r="G14" s="38"/>
      <c r="H14" s="42"/>
      <c r="I14" s="43"/>
      <c r="J14" s="38"/>
      <c r="K14" s="40"/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14"/>
      <c r="B15" s="1" t="s">
        <v>24</v>
      </c>
      <c r="C15" s="22" t="s">
        <v>25</v>
      </c>
      <c r="D15" s="44">
        <f>Vs*Rs/(Rs+Re)</f>
        <v>617.283950617284</v>
      </c>
      <c r="E15" s="34" t="s">
        <v>7</v>
      </c>
      <c r="F15" s="1"/>
      <c r="G15" s="1"/>
      <c r="H15" s="1"/>
      <c r="I15" s="19"/>
      <c r="J15" s="1"/>
      <c r="K15" s="20"/>
      <c r="L15" s="1"/>
      <c r="M15" s="1"/>
      <c r="N15" s="1"/>
      <c r="O15" s="1"/>
      <c r="P15" s="1"/>
      <c r="Q15" s="1"/>
      <c r="R15" s="1"/>
      <c r="S15" s="1"/>
    </row>
    <row r="16" spans="1:19" ht="12.75">
      <c r="A16" s="14"/>
      <c r="B16" s="1" t="s">
        <v>26</v>
      </c>
      <c r="C16" s="22" t="s">
        <v>27</v>
      </c>
      <c r="D16" s="44">
        <f>Vref/Rs</f>
        <v>61.72839506172839</v>
      </c>
      <c r="E16" s="34" t="s">
        <v>28</v>
      </c>
      <c r="F16" s="1"/>
      <c r="G16" s="25" t="s">
        <v>29</v>
      </c>
      <c r="H16" s="1"/>
      <c r="I16" s="19"/>
      <c r="J16" s="1"/>
      <c r="K16" s="20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4"/>
      <c r="B17" s="1"/>
      <c r="C17" s="22"/>
      <c r="D17" s="33"/>
      <c r="E17" s="34"/>
      <c r="F17" s="1"/>
      <c r="G17" s="1"/>
      <c r="H17" s="1"/>
      <c r="I17" s="19"/>
      <c r="J17" s="1"/>
      <c r="K17" s="20"/>
      <c r="L17" s="1"/>
      <c r="M17" s="1"/>
      <c r="N17" s="1"/>
      <c r="O17" s="1"/>
      <c r="P17" s="1"/>
      <c r="Q17" s="1"/>
      <c r="R17" s="1"/>
      <c r="S17" s="1"/>
    </row>
    <row r="18" spans="1:19" ht="12.75">
      <c r="A18" s="14"/>
      <c r="B18" s="27" t="s">
        <v>30</v>
      </c>
      <c r="C18" s="28" t="s">
        <v>31</v>
      </c>
      <c r="D18" s="29">
        <v>166.66</v>
      </c>
      <c r="E18" s="30" t="s">
        <v>7</v>
      </c>
      <c r="F18" s="1"/>
      <c r="G18" s="45" t="s">
        <v>32</v>
      </c>
      <c r="H18" s="46"/>
      <c r="I18" s="31">
        <v>200</v>
      </c>
      <c r="J18" s="47" t="s">
        <v>33</v>
      </c>
      <c r="K18" s="20"/>
      <c r="L18" s="1"/>
      <c r="M18" s="1"/>
      <c r="N18" s="1"/>
      <c r="O18" s="1"/>
      <c r="P18" s="1"/>
      <c r="Q18" s="1"/>
      <c r="R18" s="1"/>
      <c r="S18" s="1"/>
    </row>
    <row r="19" spans="1:19" ht="12.75">
      <c r="A19" s="14"/>
      <c r="B19" s="27" t="s">
        <v>34</v>
      </c>
      <c r="C19" s="28" t="s">
        <v>35</v>
      </c>
      <c r="D19" s="29">
        <v>27</v>
      </c>
      <c r="E19" s="30" t="s">
        <v>20</v>
      </c>
      <c r="F19" s="1"/>
      <c r="G19" s="45" t="s">
        <v>36</v>
      </c>
      <c r="H19" s="46"/>
      <c r="I19" s="31">
        <v>25</v>
      </c>
      <c r="J19" s="47" t="s">
        <v>33</v>
      </c>
      <c r="K19" s="20"/>
      <c r="L19" s="1"/>
      <c r="M19" s="1"/>
      <c r="N19" s="1"/>
      <c r="O19" s="1"/>
      <c r="P19" s="1"/>
      <c r="Q19" s="1"/>
      <c r="R19" s="1"/>
      <c r="S19" s="1"/>
    </row>
    <row r="20" spans="1:19" ht="12.75">
      <c r="A20" s="14"/>
      <c r="B20" s="1"/>
      <c r="C20" s="22"/>
      <c r="D20" s="33"/>
      <c r="E20" s="34"/>
      <c r="F20" s="1"/>
      <c r="G20" s="45" t="s">
        <v>37</v>
      </c>
      <c r="H20" s="46"/>
      <c r="I20" s="31">
        <v>200</v>
      </c>
      <c r="J20" s="47" t="s">
        <v>33</v>
      </c>
      <c r="K20" s="20"/>
      <c r="L20" s="1"/>
      <c r="M20" s="1"/>
      <c r="N20" s="1"/>
      <c r="O20" s="1"/>
      <c r="P20" s="1"/>
      <c r="Q20" s="1"/>
      <c r="R20" s="1"/>
      <c r="S20" s="1"/>
    </row>
    <row r="21" spans="1:19" ht="12.75">
      <c r="A21" s="14"/>
      <c r="B21" s="1" t="s">
        <v>38</v>
      </c>
      <c r="C21" s="22" t="s">
        <v>39</v>
      </c>
      <c r="D21" s="44">
        <f>(Vs-Vm)/Im</f>
        <v>50.00240009600384</v>
      </c>
      <c r="E21" s="34" t="s">
        <v>13</v>
      </c>
      <c r="F21" s="1"/>
      <c r="G21" s="45" t="s">
        <v>40</v>
      </c>
      <c r="H21" s="46"/>
      <c r="I21" s="31">
        <v>50</v>
      </c>
      <c r="J21" s="47" t="s">
        <v>33</v>
      </c>
      <c r="K21" s="20"/>
      <c r="L21" s="1"/>
      <c r="M21" s="1"/>
      <c r="N21" s="1"/>
      <c r="O21" s="1"/>
      <c r="P21" s="1"/>
      <c r="Q21" s="1"/>
      <c r="R21" s="1"/>
      <c r="S21" s="1"/>
    </row>
    <row r="22" spans="1:19" ht="12.75">
      <c r="A22" s="14"/>
      <c r="B22" s="1" t="s">
        <v>41</v>
      </c>
      <c r="C22" s="22" t="s">
        <v>42</v>
      </c>
      <c r="D22" s="44">
        <f>Vm/Rs</f>
        <v>16.666</v>
      </c>
      <c r="E22" s="34" t="s">
        <v>28</v>
      </c>
      <c r="F22" s="1"/>
      <c r="G22" s="45" t="s">
        <v>43</v>
      </c>
      <c r="H22" s="46"/>
      <c r="I22" s="31">
        <v>35</v>
      </c>
      <c r="J22" s="47" t="s">
        <v>33</v>
      </c>
      <c r="K22" s="20"/>
      <c r="L22" s="1"/>
      <c r="M22" s="1"/>
      <c r="N22" s="1"/>
      <c r="O22" s="1"/>
      <c r="P22" s="1"/>
      <c r="Q22" s="1"/>
      <c r="R22" s="1"/>
      <c r="S22" s="1"/>
    </row>
    <row r="23" spans="1:19" ht="12.75">
      <c r="A23" s="14"/>
      <c r="B23" s="1" t="s">
        <v>44</v>
      </c>
      <c r="C23" s="22" t="s">
        <v>45</v>
      </c>
      <c r="D23" s="44">
        <f>(Im*Is)^0.5</f>
        <v>32.07437344826498</v>
      </c>
      <c r="E23" s="34" t="s">
        <v>28</v>
      </c>
      <c r="F23" s="1"/>
      <c r="G23" s="1"/>
      <c r="H23" s="1"/>
      <c r="I23" s="19"/>
      <c r="J23" s="1"/>
      <c r="K23" s="20"/>
      <c r="L23" s="1"/>
      <c r="M23" s="1"/>
      <c r="N23" s="1"/>
      <c r="O23" s="1"/>
      <c r="P23" s="1"/>
      <c r="Q23" s="1"/>
      <c r="R23" s="1"/>
      <c r="S23" s="1"/>
    </row>
    <row r="24" spans="1:19" ht="12.75">
      <c r="A24" s="14"/>
      <c r="B24" s="1" t="s">
        <v>46</v>
      </c>
      <c r="C24" s="22" t="s">
        <v>46</v>
      </c>
      <c r="D24" s="44">
        <f>Is/Im</f>
        <v>3.7038518577780146</v>
      </c>
      <c r="E24" s="34"/>
      <c r="F24" s="1"/>
      <c r="G24" s="1" t="s">
        <v>47</v>
      </c>
      <c r="H24" s="1"/>
      <c r="I24" s="39">
        <f>SUM(I26:I29)</f>
        <v>1.4726215563702154</v>
      </c>
      <c r="J24" s="1" t="s">
        <v>10</v>
      </c>
      <c r="K24" s="20"/>
      <c r="L24" s="1"/>
      <c r="M24" s="1"/>
      <c r="N24" s="1"/>
      <c r="O24" s="1"/>
      <c r="P24" s="1"/>
      <c r="Q24" s="1"/>
      <c r="R24" s="1"/>
      <c r="S24" s="1"/>
    </row>
    <row r="25" spans="1:19" ht="12.75">
      <c r="A25" s="14"/>
      <c r="B25" s="1" t="s">
        <v>48</v>
      </c>
      <c r="C25" s="22" t="s">
        <v>49</v>
      </c>
      <c r="D25" s="44">
        <f>Ir*Rs</f>
        <v>320.74373448264976</v>
      </c>
      <c r="E25" s="34" t="s">
        <v>7</v>
      </c>
      <c r="F25" s="1"/>
      <c r="G25" s="1"/>
      <c r="H25" s="1"/>
      <c r="I25" s="19"/>
      <c r="J25" s="1"/>
      <c r="K25" s="20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4"/>
      <c r="B26" s="1"/>
      <c r="C26" s="16"/>
      <c r="D26" s="44"/>
      <c r="E26" s="34"/>
      <c r="F26" s="1"/>
      <c r="G26" s="1"/>
      <c r="H26" s="48">
        <f>(I18/200)^2*PI()</f>
        <v>3.141592653589793</v>
      </c>
      <c r="I26" s="49">
        <f>H26*(I19/100)</f>
        <v>0.7853981633974483</v>
      </c>
      <c r="J26" s="1"/>
      <c r="K26" s="20"/>
      <c r="L26" s="1"/>
      <c r="M26" s="1"/>
      <c r="N26" s="1"/>
      <c r="O26" s="1"/>
      <c r="P26" s="1"/>
      <c r="Q26" s="1"/>
      <c r="R26" s="1"/>
      <c r="S26" s="1"/>
    </row>
    <row r="27" spans="1:19" ht="12.75">
      <c r="A27" s="14"/>
      <c r="B27" s="36" t="s">
        <v>50</v>
      </c>
      <c r="C27" s="16"/>
      <c r="D27" s="33"/>
      <c r="E27" s="34"/>
      <c r="F27" s="1"/>
      <c r="H27" s="48">
        <f>(I21/2)/200*PI()</f>
        <v>0.39269908169872414</v>
      </c>
      <c r="I27" s="49">
        <f>H27*(I22/100)</f>
        <v>0.13744467859455345</v>
      </c>
      <c r="J27" s="1"/>
      <c r="K27" s="20"/>
      <c r="L27" s="1"/>
      <c r="M27" s="1"/>
      <c r="N27" s="1"/>
      <c r="O27" s="1"/>
      <c r="P27" s="1"/>
      <c r="Q27" s="1"/>
      <c r="R27" s="1"/>
      <c r="S27" s="1"/>
    </row>
    <row r="28" spans="1:19" ht="12.75">
      <c r="A28" s="14"/>
      <c r="B28" s="36"/>
      <c r="C28" s="16"/>
      <c r="D28" s="33"/>
      <c r="E28" s="34"/>
      <c r="F28" s="1"/>
      <c r="H28" s="48"/>
      <c r="I28" s="49"/>
      <c r="J28" s="1"/>
      <c r="K28" s="20"/>
      <c r="L28" s="1"/>
      <c r="M28" s="1"/>
      <c r="N28" s="1"/>
      <c r="O28" s="1"/>
      <c r="P28" s="1"/>
      <c r="Q28" s="1"/>
      <c r="R28" s="1"/>
      <c r="S28" s="1"/>
    </row>
    <row r="29" spans="1:19" ht="12.75">
      <c r="A29" s="14"/>
      <c r="B29" s="45" t="s">
        <v>51</v>
      </c>
      <c r="C29" s="50" t="s">
        <v>52</v>
      </c>
      <c r="D29" s="29">
        <v>32.28</v>
      </c>
      <c r="E29" s="30" t="s">
        <v>20</v>
      </c>
      <c r="F29" s="1"/>
      <c r="G29" s="25" t="s">
        <v>53</v>
      </c>
      <c r="H29" s="48">
        <f>(I20/200)*PI()</f>
        <v>3.141592653589793</v>
      </c>
      <c r="I29" s="49">
        <f>H29*(I22/100)/2</f>
        <v>0.5497787143782138</v>
      </c>
      <c r="J29" s="1"/>
      <c r="K29" s="20"/>
      <c r="L29" s="1"/>
      <c r="M29" s="1"/>
      <c r="N29" s="1"/>
      <c r="O29" s="1"/>
      <c r="P29" s="1"/>
      <c r="Q29" s="1"/>
      <c r="R29" s="1"/>
      <c r="S29" s="1"/>
    </row>
    <row r="30" spans="1:19" ht="12.75">
      <c r="A30" s="14"/>
      <c r="B30" s="45" t="s">
        <v>54</v>
      </c>
      <c r="C30" s="50" t="s">
        <v>55</v>
      </c>
      <c r="D30" s="29">
        <v>22.36</v>
      </c>
      <c r="E30" s="30" t="s">
        <v>20</v>
      </c>
      <c r="F30" s="1"/>
      <c r="G30" s="1" t="s">
        <v>56</v>
      </c>
      <c r="H30" s="1"/>
      <c r="J30" s="1"/>
      <c r="K30" s="20"/>
      <c r="L30" s="1"/>
      <c r="M30" s="1"/>
      <c r="N30" s="1"/>
      <c r="O30" s="1"/>
      <c r="P30" s="1"/>
      <c r="Q30" s="1"/>
      <c r="R30" s="1"/>
      <c r="S30" s="1"/>
    </row>
    <row r="31" spans="1:19" ht="12.75">
      <c r="A31" s="14"/>
      <c r="B31" s="1" t="s">
        <v>57</v>
      </c>
      <c r="C31" s="16"/>
      <c r="D31" s="44">
        <f>(D29*D30)^0.5</f>
        <v>26.865978485809894</v>
      </c>
      <c r="E31" s="34" t="s">
        <v>20</v>
      </c>
      <c r="F31" s="1"/>
      <c r="G31" s="1" t="s">
        <v>58</v>
      </c>
      <c r="H31" s="1"/>
      <c r="I31" s="19"/>
      <c r="J31" s="1"/>
      <c r="K31" s="20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4"/>
      <c r="B32" s="1"/>
      <c r="C32" s="16"/>
      <c r="D32" s="33"/>
      <c r="E32" s="22"/>
      <c r="F32" s="1"/>
      <c r="G32" s="1"/>
      <c r="H32" s="1"/>
      <c r="I32" s="19"/>
      <c r="J32" s="1"/>
      <c r="K32" s="20"/>
      <c r="L32" s="1"/>
      <c r="M32" s="1"/>
      <c r="N32" s="1"/>
      <c r="O32" s="1"/>
      <c r="P32" s="1"/>
      <c r="Q32" s="1"/>
      <c r="R32" s="1"/>
      <c r="S32" s="1"/>
    </row>
    <row r="33" spans="1:19" ht="12.75">
      <c r="A33" s="14"/>
      <c r="B33" s="1" t="s">
        <v>59</v>
      </c>
      <c r="C33" s="15" t="s">
        <v>60</v>
      </c>
      <c r="D33" s="44">
        <f>(Fs*(r0^0.5))/(Fh-Fl)</f>
        <v>5.238161642008952</v>
      </c>
      <c r="E33" s="22"/>
      <c r="F33" s="1"/>
      <c r="G33" s="1" t="s">
        <v>61</v>
      </c>
      <c r="H33" s="51">
        <f>I35/Qms</f>
        <v>8.362170373804013</v>
      </c>
      <c r="I33" s="52">
        <f>1/(2*PI()*H33*Fs)*1000000</f>
        <v>704.9159797542537</v>
      </c>
      <c r="J33" s="1" t="s">
        <v>62</v>
      </c>
      <c r="K33" s="20"/>
      <c r="L33" s="1"/>
      <c r="M33" s="1"/>
      <c r="N33" s="1"/>
      <c r="O33" s="1"/>
      <c r="P33" s="1"/>
      <c r="Q33" s="1"/>
      <c r="R33" s="1"/>
      <c r="S33" s="1"/>
    </row>
    <row r="34" spans="1:19" ht="12.75">
      <c r="A34" s="14"/>
      <c r="B34" s="1" t="s">
        <v>63</v>
      </c>
      <c r="C34" s="15" t="s">
        <v>64</v>
      </c>
      <c r="D34" s="44">
        <f>(Qms/(r0-1))*(Re/(Rs+Re))</f>
        <v>0.7414343074643163</v>
      </c>
      <c r="E34" s="22"/>
      <c r="F34" s="1"/>
      <c r="G34" s="1" t="s">
        <v>65</v>
      </c>
      <c r="H34" s="1"/>
      <c r="I34" s="39">
        <f>H33/(2*PI()*Fs)*1000</f>
        <v>49.29187962842633</v>
      </c>
      <c r="J34" s="1" t="s">
        <v>66</v>
      </c>
      <c r="K34" s="20"/>
      <c r="L34" s="1"/>
      <c r="M34" s="1"/>
      <c r="N34" s="1"/>
      <c r="O34" s="1"/>
      <c r="P34" s="1"/>
      <c r="Q34" s="1"/>
      <c r="R34" s="1"/>
      <c r="S34" s="1"/>
    </row>
    <row r="35" spans="1:19" ht="12.75">
      <c r="A35" s="14"/>
      <c r="B35" s="23" t="s">
        <v>67</v>
      </c>
      <c r="C35" s="15" t="s">
        <v>68</v>
      </c>
      <c r="D35" s="44">
        <f>Qms*Qes/(Qms+Qes)</f>
        <v>0.6495008663204352</v>
      </c>
      <c r="E35" s="22"/>
      <c r="F35" s="23"/>
      <c r="G35" s="23" t="s">
        <v>69</v>
      </c>
      <c r="H35" s="23"/>
      <c r="I35" s="39">
        <f>Rm-Re</f>
        <v>43.802400096003836</v>
      </c>
      <c r="J35" s="23" t="s">
        <v>13</v>
      </c>
      <c r="K35" s="20"/>
      <c r="L35" s="1"/>
      <c r="M35" s="1"/>
      <c r="N35" s="1"/>
      <c r="O35" s="1"/>
      <c r="P35" s="1"/>
      <c r="Q35" s="1"/>
      <c r="R35" s="1"/>
      <c r="S35" s="1"/>
    </row>
    <row r="36" spans="1:19" ht="12.75">
      <c r="A36" s="53"/>
      <c r="B36" s="54"/>
      <c r="C36" s="55"/>
      <c r="D36" s="56"/>
      <c r="E36" s="57"/>
      <c r="F36" s="54"/>
      <c r="G36" s="54"/>
      <c r="H36" s="54"/>
      <c r="I36" s="58"/>
      <c r="J36" s="54"/>
      <c r="K36" s="59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16"/>
      <c r="D37" s="26"/>
      <c r="E37" s="22"/>
      <c r="F37" s="1"/>
      <c r="G37" s="1"/>
      <c r="H37" s="1"/>
      <c r="I37" s="19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/>
      <c r="C38" s="16"/>
      <c r="D38" s="26"/>
      <c r="E38" s="22"/>
      <c r="F38" s="1"/>
      <c r="G38" s="1"/>
      <c r="H38" s="1"/>
      <c r="I38" s="19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2.75">
      <c r="B39" s="1"/>
      <c r="C39" s="16"/>
      <c r="D39" s="26"/>
      <c r="E39" s="22"/>
      <c r="F39" s="1"/>
      <c r="G39" s="1"/>
      <c r="H39" s="1"/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2.75">
      <c r="B40" s="1"/>
      <c r="C40" s="16"/>
      <c r="D40" s="26"/>
      <c r="E40" s="22"/>
      <c r="F40" s="1"/>
      <c r="G40" s="1"/>
      <c r="H40" s="1"/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1"/>
      <c r="C41" s="16"/>
      <c r="D41" s="26"/>
      <c r="E41" s="22"/>
      <c r="F41" s="1"/>
      <c r="G41" s="1"/>
      <c r="H41" s="1"/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16"/>
      <c r="D42" s="26"/>
      <c r="E42" s="22"/>
      <c r="F42" s="1"/>
      <c r="G42" s="1"/>
      <c r="H42" s="1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1"/>
      <c r="C43" s="16"/>
      <c r="D43" s="26"/>
      <c r="E43" s="22"/>
      <c r="F43" s="1"/>
      <c r="G43" s="1"/>
      <c r="H43" s="1"/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1"/>
      <c r="C44" s="16"/>
      <c r="D44" s="26"/>
      <c r="E44" s="22"/>
      <c r="F44" s="1"/>
      <c r="G44" s="1"/>
      <c r="H44" s="1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1"/>
      <c r="C45" s="16"/>
      <c r="D45" s="26"/>
      <c r="E45" s="22"/>
      <c r="F45" s="1"/>
      <c r="G45" s="1"/>
      <c r="H45" s="1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s="1"/>
      <c r="C46" s="16"/>
      <c r="D46" s="26"/>
      <c r="E46" s="22"/>
      <c r="F46" s="1"/>
      <c r="G46" s="1"/>
      <c r="H46" s="1"/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6"/>
      <c r="D47" s="26"/>
      <c r="E47" s="22"/>
      <c r="F47" s="1"/>
      <c r="G47" s="1"/>
      <c r="H47" s="1"/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6"/>
      <c r="D48" s="26"/>
      <c r="E48" s="22"/>
      <c r="F48" s="1"/>
      <c r="G48" s="1"/>
      <c r="H48" s="1"/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6"/>
      <c r="D49" s="26"/>
      <c r="E49" s="22"/>
      <c r="F49" s="1"/>
      <c r="G49" s="1"/>
      <c r="H49" s="1"/>
      <c r="I49" s="19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6"/>
      <c r="D50" s="26"/>
      <c r="E50" s="22"/>
      <c r="F50" s="1"/>
      <c r="G50" s="1"/>
      <c r="H50" s="1"/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6"/>
      <c r="D51" s="26"/>
      <c r="E51" s="22"/>
      <c r="F51" s="1"/>
      <c r="G51" s="1"/>
      <c r="H51" s="1"/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2" ht="12.75">
      <c r="B52" s="1"/>
      <c r="C52" s="16"/>
      <c r="D52" s="26"/>
      <c r="E52" s="22"/>
      <c r="F52" s="1"/>
      <c r="G52" s="1"/>
      <c r="H52" s="1"/>
      <c r="I52" s="19"/>
      <c r="J52" s="1"/>
      <c r="K52" s="1"/>
      <c r="L52" s="1"/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7" zoomScaleNormal="87" workbookViewId="0" topLeftCell="A1">
      <selection activeCell="I4" sqref="I4"/>
    </sheetView>
  </sheetViews>
  <sheetFormatPr defaultColWidth="12.4453125" defaultRowHeight="15"/>
  <cols>
    <col min="1" max="1" width="4.21484375" style="60" customWidth="1"/>
    <col min="2" max="2" width="42.6640625" style="0" customWidth="1"/>
    <col min="3" max="3" width="6.4453125" style="61" customWidth="1"/>
    <col min="4" max="4" width="12.77734375" style="62" customWidth="1"/>
    <col min="5" max="5" width="12.77734375" style="63" customWidth="1"/>
    <col min="6" max="6" width="4.21484375" style="0" customWidth="1"/>
    <col min="7" max="7" width="21.3359375" style="0" customWidth="1"/>
    <col min="8" max="8" width="6.4453125" style="0" customWidth="1"/>
    <col min="9" max="9" width="12.77734375" style="64" customWidth="1"/>
    <col min="10" max="10" width="8.5546875" style="0" customWidth="1"/>
    <col min="11" max="11" width="4.21484375" style="65" customWidth="1"/>
    <col min="12" max="12" width="11.4453125" style="0" customWidth="1"/>
    <col min="13" max="13" width="12.5546875" style="0" customWidth="1"/>
    <col min="14" max="16384" width="11.4453125" style="0" customWidth="1"/>
  </cols>
  <sheetData>
    <row r="1" spans="1:11" s="60" customFormat="1" ht="13.5" customHeight="1">
      <c r="A1" s="66"/>
      <c r="B1" s="67"/>
      <c r="C1" s="68"/>
      <c r="D1" s="69"/>
      <c r="E1" s="70"/>
      <c r="F1" s="67"/>
      <c r="G1" s="67"/>
      <c r="H1" s="67"/>
      <c r="I1" s="71"/>
      <c r="J1" s="67"/>
      <c r="K1" s="72"/>
    </row>
    <row r="2" spans="1:19" ht="12.75">
      <c r="A2" s="73"/>
      <c r="B2" s="74" t="s">
        <v>0</v>
      </c>
      <c r="C2" s="75"/>
      <c r="D2" s="76" t="str">
        <f>'Known Volume'!D2</f>
        <v>Demo 250mm</v>
      </c>
      <c r="E2" s="77"/>
      <c r="F2" s="78"/>
      <c r="G2" s="78"/>
      <c r="H2" s="78"/>
      <c r="I2" s="79"/>
      <c r="J2" s="78"/>
      <c r="K2" s="80"/>
      <c r="L2" s="78"/>
      <c r="M2" s="60"/>
      <c r="N2" s="60"/>
      <c r="O2" s="60"/>
      <c r="P2" s="60"/>
      <c r="Q2" s="60"/>
      <c r="R2" s="60"/>
      <c r="S2" s="60"/>
    </row>
    <row r="3" spans="1:19" ht="13.5" customHeight="1">
      <c r="A3" s="73"/>
      <c r="B3" s="74"/>
      <c r="C3" s="75"/>
      <c r="D3" s="81"/>
      <c r="E3" s="82"/>
      <c r="F3" s="78"/>
      <c r="G3" s="78"/>
      <c r="H3" s="78"/>
      <c r="I3" s="79"/>
      <c r="J3" s="78"/>
      <c r="K3" s="80"/>
      <c r="L3" s="78"/>
      <c r="M3" s="60"/>
      <c r="N3" s="60"/>
      <c r="O3" s="60"/>
      <c r="P3" s="60"/>
      <c r="Q3" s="60"/>
      <c r="R3" s="60"/>
      <c r="S3" s="60"/>
    </row>
    <row r="4" spans="1:19" ht="12.75">
      <c r="A4" s="73"/>
      <c r="B4" s="83" t="s">
        <v>70</v>
      </c>
      <c r="C4" s="75"/>
      <c r="D4" s="84"/>
      <c r="E4" s="82"/>
      <c r="F4" s="78"/>
      <c r="G4" s="78"/>
      <c r="H4" s="78" t="s">
        <v>71</v>
      </c>
      <c r="I4" s="79"/>
      <c r="J4" s="78"/>
      <c r="K4" s="80"/>
      <c r="L4" s="78"/>
      <c r="M4" s="60"/>
      <c r="N4" s="60"/>
      <c r="O4" s="60"/>
      <c r="P4" s="60"/>
      <c r="Q4" s="60"/>
      <c r="R4" s="60"/>
      <c r="S4" s="60"/>
    </row>
    <row r="5" spans="1:19" ht="13.5" customHeight="1">
      <c r="A5" s="73"/>
      <c r="B5" s="83"/>
      <c r="C5" s="75"/>
      <c r="D5" s="84"/>
      <c r="E5" s="82"/>
      <c r="F5" s="78"/>
      <c r="G5" s="78"/>
      <c r="H5" s="78"/>
      <c r="I5" s="79"/>
      <c r="J5" s="78"/>
      <c r="K5" s="80"/>
      <c r="L5" s="78"/>
      <c r="M5" s="60"/>
      <c r="N5" s="60"/>
      <c r="O5" s="60"/>
      <c r="P5" s="60"/>
      <c r="Q5" s="60"/>
      <c r="R5" s="60"/>
      <c r="S5" s="60"/>
    </row>
    <row r="6" spans="1:19" ht="12.75">
      <c r="A6" s="73"/>
      <c r="B6" s="85" t="s">
        <v>3</v>
      </c>
      <c r="C6" s="75"/>
      <c r="D6" s="84"/>
      <c r="E6" s="82"/>
      <c r="F6" s="78"/>
      <c r="G6" s="85" t="s">
        <v>4</v>
      </c>
      <c r="H6" s="78"/>
      <c r="I6" s="79"/>
      <c r="J6" s="78"/>
      <c r="K6" s="80"/>
      <c r="L6" s="78"/>
      <c r="M6" s="60"/>
      <c r="N6" s="60"/>
      <c r="O6" s="60"/>
      <c r="P6" s="60"/>
      <c r="Q6" s="60"/>
      <c r="R6" s="60"/>
      <c r="S6" s="60"/>
    </row>
    <row r="7" spans="1:19" ht="13.5" customHeight="1">
      <c r="A7" s="73"/>
      <c r="B7" s="65"/>
      <c r="C7" s="75"/>
      <c r="D7" s="86"/>
      <c r="E7" s="82"/>
      <c r="F7" s="78"/>
      <c r="G7" s="78"/>
      <c r="H7" s="78"/>
      <c r="I7" s="79"/>
      <c r="J7" s="78"/>
      <c r="K7" s="80"/>
      <c r="L7" s="78"/>
      <c r="M7" s="60"/>
      <c r="N7" s="60"/>
      <c r="O7" s="60"/>
      <c r="P7" s="60"/>
      <c r="Q7" s="60"/>
      <c r="R7" s="60"/>
      <c r="S7" s="60"/>
    </row>
    <row r="8" spans="1:19" ht="12.75">
      <c r="A8" s="73"/>
      <c r="B8" s="87" t="s">
        <v>5</v>
      </c>
      <c r="C8" s="88" t="s">
        <v>6</v>
      </c>
      <c r="D8" s="89">
        <f>Vs</f>
        <v>1000</v>
      </c>
      <c r="E8" s="90" t="s">
        <v>7</v>
      </c>
      <c r="F8" s="78"/>
      <c r="G8" s="87" t="s">
        <v>37</v>
      </c>
      <c r="H8" s="87" t="s">
        <v>72</v>
      </c>
      <c r="I8" s="91">
        <v>200</v>
      </c>
      <c r="J8" s="87" t="s">
        <v>33</v>
      </c>
      <c r="K8" s="80"/>
      <c r="L8" s="78"/>
      <c r="M8" s="60"/>
      <c r="N8" s="60"/>
      <c r="O8" s="60"/>
      <c r="P8" s="60"/>
      <c r="Q8" s="60"/>
      <c r="R8" s="60"/>
      <c r="S8" s="60"/>
    </row>
    <row r="9" spans="1:19" ht="15.75">
      <c r="A9" s="73"/>
      <c r="B9" s="87" t="s">
        <v>11</v>
      </c>
      <c r="C9" s="88" t="s">
        <v>12</v>
      </c>
      <c r="D9" s="89">
        <f>Rs</f>
        <v>10</v>
      </c>
      <c r="E9" s="90" t="s">
        <v>13</v>
      </c>
      <c r="F9" s="78"/>
      <c r="G9" s="87" t="s">
        <v>73</v>
      </c>
      <c r="H9" s="87" t="s">
        <v>74</v>
      </c>
      <c r="I9" s="92">
        <f>PI()*(I8/20)^2</f>
        <v>314.1592653589793</v>
      </c>
      <c r="J9" s="87" t="s">
        <v>75</v>
      </c>
      <c r="K9" s="80"/>
      <c r="L9" s="78"/>
      <c r="M9" s="60"/>
      <c r="N9" s="60"/>
      <c r="O9" s="60"/>
      <c r="P9" s="60"/>
      <c r="Q9" s="60"/>
      <c r="R9" s="60"/>
      <c r="S9" s="60"/>
    </row>
    <row r="10" spans="1:19" ht="15">
      <c r="A10" s="73"/>
      <c r="B10" s="87" t="s">
        <v>16</v>
      </c>
      <c r="C10" s="88" t="s">
        <v>17</v>
      </c>
      <c r="D10" s="89">
        <f>Re</f>
        <v>6.2</v>
      </c>
      <c r="E10" s="90" t="s">
        <v>13</v>
      </c>
      <c r="F10" s="78"/>
      <c r="G10" s="87" t="s">
        <v>76</v>
      </c>
      <c r="H10" s="87" t="s">
        <v>77</v>
      </c>
      <c r="I10" s="91">
        <v>23</v>
      </c>
      <c r="J10" s="87" t="s">
        <v>20</v>
      </c>
      <c r="K10" s="80"/>
      <c r="L10" s="78"/>
      <c r="M10" s="60"/>
      <c r="N10" s="60"/>
      <c r="O10" s="60"/>
      <c r="P10" s="60"/>
      <c r="Q10" s="60"/>
      <c r="R10" s="60"/>
      <c r="S10" s="60"/>
    </row>
    <row r="11" spans="1:19" ht="13.5" customHeight="1">
      <c r="A11" s="73"/>
      <c r="B11" s="78"/>
      <c r="C11" s="82"/>
      <c r="D11" s="93"/>
      <c r="E11" s="94"/>
      <c r="F11" s="78"/>
      <c r="G11" s="78"/>
      <c r="H11" s="78"/>
      <c r="I11" s="79"/>
      <c r="J11" s="78"/>
      <c r="K11" s="80"/>
      <c r="L11" s="78"/>
      <c r="M11" s="60"/>
      <c r="N11" s="60"/>
      <c r="O11" s="60"/>
      <c r="P11" s="60"/>
      <c r="Q11" s="60"/>
      <c r="R11" s="60"/>
      <c r="S11" s="60"/>
    </row>
    <row r="12" spans="1:19" s="104" customFormat="1" ht="15" customHeight="1">
      <c r="A12" s="95"/>
      <c r="B12" s="96" t="s">
        <v>21</v>
      </c>
      <c r="C12" s="97"/>
      <c r="D12" s="98"/>
      <c r="E12" s="97"/>
      <c r="F12" s="99"/>
      <c r="G12" s="99"/>
      <c r="H12" s="74" t="s">
        <v>22</v>
      </c>
      <c r="I12" s="100">
        <f>I22*I19*I20^2*I9^2*10</f>
        <v>40.56822470214031</v>
      </c>
      <c r="J12" s="83" t="s">
        <v>10</v>
      </c>
      <c r="K12" s="101"/>
      <c r="L12" s="99"/>
      <c r="M12" s="102"/>
      <c r="N12" s="103"/>
      <c r="O12" s="103"/>
      <c r="P12" s="103"/>
      <c r="Q12" s="103"/>
      <c r="R12" s="103"/>
      <c r="S12" s="103"/>
    </row>
    <row r="13" spans="1:19" s="104" customFormat="1" ht="15" customHeight="1">
      <c r="A13" s="95"/>
      <c r="B13" s="96" t="s">
        <v>23</v>
      </c>
      <c r="C13" s="97"/>
      <c r="D13" s="98"/>
      <c r="E13" s="97"/>
      <c r="F13" s="99"/>
      <c r="G13" s="99"/>
      <c r="H13" s="105"/>
      <c r="I13" s="106"/>
      <c r="J13" s="99"/>
      <c r="K13" s="101"/>
      <c r="L13" s="99"/>
      <c r="M13" s="107"/>
      <c r="N13" s="103"/>
      <c r="O13" s="103"/>
      <c r="P13" s="103"/>
      <c r="Q13" s="103"/>
      <c r="R13" s="103"/>
      <c r="S13" s="103"/>
    </row>
    <row r="14" spans="1:19" s="104" customFormat="1" ht="13.5" customHeight="1">
      <c r="A14" s="95"/>
      <c r="B14" s="99"/>
      <c r="C14" s="97"/>
      <c r="D14" s="98"/>
      <c r="E14" s="97"/>
      <c r="F14" s="99"/>
      <c r="G14" s="99"/>
      <c r="H14" s="105"/>
      <c r="I14" s="106"/>
      <c r="J14" s="99"/>
      <c r="K14" s="99"/>
      <c r="L14" s="95"/>
      <c r="M14" s="99"/>
      <c r="N14" s="99"/>
      <c r="O14" s="99"/>
      <c r="P14" s="99"/>
      <c r="Q14" s="103"/>
      <c r="R14" s="103"/>
      <c r="S14" s="103"/>
    </row>
    <row r="15" spans="1:19" ht="12.75">
      <c r="A15" s="73"/>
      <c r="B15" s="78" t="s">
        <v>24</v>
      </c>
      <c r="C15" s="82" t="s">
        <v>25</v>
      </c>
      <c r="D15" s="44">
        <f>Vs*Rs/(Rs+Re)</f>
        <v>617.283950617284</v>
      </c>
      <c r="E15" s="94" t="s">
        <v>7</v>
      </c>
      <c r="F15" s="78"/>
      <c r="G15" s="78"/>
      <c r="H15" s="78"/>
      <c r="I15" s="79"/>
      <c r="J15" s="78"/>
      <c r="K15" s="78"/>
      <c r="L15" s="73"/>
      <c r="M15" s="78"/>
      <c r="N15" s="78"/>
      <c r="O15" s="78"/>
      <c r="P15" s="78"/>
      <c r="Q15" s="60"/>
      <c r="R15" s="60"/>
      <c r="S15" s="60"/>
    </row>
    <row r="16" spans="1:19" ht="12.75">
      <c r="A16" s="73"/>
      <c r="B16" s="78" t="s">
        <v>26</v>
      </c>
      <c r="C16" s="82" t="s">
        <v>27</v>
      </c>
      <c r="D16" s="44">
        <f>Vref/Rs</f>
        <v>61.72839506172839</v>
      </c>
      <c r="E16" s="94" t="s">
        <v>28</v>
      </c>
      <c r="F16" s="78"/>
      <c r="G16" s="85" t="s">
        <v>78</v>
      </c>
      <c r="H16" s="78"/>
      <c r="I16" s="79"/>
      <c r="J16" s="78"/>
      <c r="K16" s="78"/>
      <c r="L16" s="73"/>
      <c r="M16" s="78"/>
      <c r="N16" s="78"/>
      <c r="O16" s="108"/>
      <c r="P16" s="78"/>
      <c r="Q16" s="60"/>
      <c r="R16" s="60"/>
      <c r="S16" s="60"/>
    </row>
    <row r="17" spans="1:19" ht="13.5" customHeight="1">
      <c r="A17" s="73"/>
      <c r="B17" s="78"/>
      <c r="C17" s="82"/>
      <c r="D17" s="98"/>
      <c r="E17" s="94"/>
      <c r="F17" s="78"/>
      <c r="G17" s="78"/>
      <c r="H17" s="78"/>
      <c r="I17" s="79"/>
      <c r="J17" s="78"/>
      <c r="K17" s="78"/>
      <c r="L17" s="73"/>
      <c r="M17" s="78"/>
      <c r="N17" s="78"/>
      <c r="O17" s="78"/>
      <c r="P17" s="78"/>
      <c r="Q17" s="60"/>
      <c r="R17" s="60"/>
      <c r="S17" s="60"/>
    </row>
    <row r="18" spans="1:19" ht="15">
      <c r="A18" s="73"/>
      <c r="B18" s="87" t="s">
        <v>30</v>
      </c>
      <c r="C18" s="88" t="s">
        <v>31</v>
      </c>
      <c r="D18" s="89">
        <f>Vm</f>
        <v>166.66</v>
      </c>
      <c r="E18" s="90" t="s">
        <v>7</v>
      </c>
      <c r="F18" s="78"/>
      <c r="G18" s="109" t="s">
        <v>79</v>
      </c>
      <c r="H18" s="110"/>
      <c r="I18" s="91">
        <v>45.8</v>
      </c>
      <c r="J18" s="111" t="s">
        <v>80</v>
      </c>
      <c r="K18" s="78"/>
      <c r="L18" s="73"/>
      <c r="M18" s="78"/>
      <c r="N18" s="78"/>
      <c r="O18" s="108"/>
      <c r="P18" s="78"/>
      <c r="Q18" s="60"/>
      <c r="R18" s="60"/>
      <c r="S18" s="60"/>
    </row>
    <row r="19" spans="1:19" ht="15">
      <c r="A19" s="73"/>
      <c r="B19" s="87" t="s">
        <v>34</v>
      </c>
      <c r="C19" s="88" t="s">
        <v>35</v>
      </c>
      <c r="D19" s="89">
        <f>Fs</f>
        <v>27</v>
      </c>
      <c r="E19" s="90" t="s">
        <v>20</v>
      </c>
      <c r="F19" s="78"/>
      <c r="G19" s="109" t="s">
        <v>81</v>
      </c>
      <c r="H19" s="110"/>
      <c r="I19" s="112">
        <v>0.001204</v>
      </c>
      <c r="J19" s="111" t="s">
        <v>82</v>
      </c>
      <c r="K19" s="78"/>
      <c r="L19" s="73"/>
      <c r="M19" s="78"/>
      <c r="N19" s="78"/>
      <c r="O19" s="108"/>
      <c r="P19" s="78"/>
      <c r="Q19" s="60"/>
      <c r="R19" s="60"/>
      <c r="S19" s="60"/>
    </row>
    <row r="20" spans="1:19" ht="15">
      <c r="A20" s="73"/>
      <c r="B20" s="78"/>
      <c r="C20" s="82"/>
      <c r="D20" s="98"/>
      <c r="E20" s="94"/>
      <c r="F20" s="78"/>
      <c r="G20" s="109" t="s">
        <v>83</v>
      </c>
      <c r="H20" s="110"/>
      <c r="I20" s="91">
        <v>345</v>
      </c>
      <c r="J20" s="111" t="s">
        <v>84</v>
      </c>
      <c r="K20" s="78"/>
      <c r="L20" s="73"/>
      <c r="M20" s="78"/>
      <c r="N20" s="78"/>
      <c r="O20" s="78"/>
      <c r="P20" s="78"/>
      <c r="Q20" s="60"/>
      <c r="R20" s="60"/>
      <c r="S20" s="60"/>
    </row>
    <row r="21" spans="1:19" ht="15.75">
      <c r="A21" s="73"/>
      <c r="B21" s="78" t="s">
        <v>38</v>
      </c>
      <c r="C21" s="82" t="s">
        <v>39</v>
      </c>
      <c r="D21" s="44">
        <f>(Vs-Vm)/Im</f>
        <v>50.00240009600384</v>
      </c>
      <c r="E21" s="94" t="s">
        <v>13</v>
      </c>
      <c r="F21" s="78"/>
      <c r="G21" s="109" t="s">
        <v>85</v>
      </c>
      <c r="H21" s="110"/>
      <c r="I21" s="113">
        <f>I18/((D19/I10)^2-1)</f>
        <v>121.1409999999999</v>
      </c>
      <c r="J21" s="111" t="s">
        <v>80</v>
      </c>
      <c r="K21" s="78"/>
      <c r="L21" s="73"/>
      <c r="M21" s="78"/>
      <c r="N21" s="78"/>
      <c r="O21" s="78"/>
      <c r="P21" s="78"/>
      <c r="Q21" s="60"/>
      <c r="R21" s="60"/>
      <c r="S21" s="60"/>
    </row>
    <row r="22" spans="1:19" ht="15.75">
      <c r="A22" s="73"/>
      <c r="B22" s="78" t="s">
        <v>41</v>
      </c>
      <c r="C22" s="82" t="s">
        <v>42</v>
      </c>
      <c r="D22" s="44">
        <f>Vm/Rs</f>
        <v>16.666</v>
      </c>
      <c r="E22" s="94" t="s">
        <v>28</v>
      </c>
      <c r="F22" s="78"/>
      <c r="G22" s="109" t="s">
        <v>86</v>
      </c>
      <c r="H22" s="110"/>
      <c r="I22" s="114">
        <f>1/((2*PI()*D19)^2*I21)</f>
        <v>2.868280237260788E-07</v>
      </c>
      <c r="J22" s="111"/>
      <c r="K22" s="80"/>
      <c r="L22" s="78"/>
      <c r="M22" s="115"/>
      <c r="N22" s="60"/>
      <c r="O22" s="60"/>
      <c r="P22" s="60"/>
      <c r="Q22" s="60"/>
      <c r="R22" s="60"/>
      <c r="S22" s="60"/>
    </row>
    <row r="23" spans="1:19" ht="15">
      <c r="A23" s="73"/>
      <c r="B23" s="78" t="s">
        <v>44</v>
      </c>
      <c r="C23" s="82" t="s">
        <v>45</v>
      </c>
      <c r="D23" s="44">
        <f>(Im*Is)^0.5</f>
        <v>32.07437344826498</v>
      </c>
      <c r="E23" s="94" t="s">
        <v>28</v>
      </c>
      <c r="F23" s="78"/>
      <c r="G23" s="78"/>
      <c r="H23" s="78"/>
      <c r="I23" s="79"/>
      <c r="J23" s="78"/>
      <c r="K23" s="80"/>
      <c r="L23" s="78"/>
      <c r="M23" s="60"/>
      <c r="N23" s="60"/>
      <c r="O23" s="60"/>
      <c r="P23" s="60"/>
      <c r="Q23" s="60"/>
      <c r="R23" s="60"/>
      <c r="S23" s="60"/>
    </row>
    <row r="24" spans="1:19" ht="12.75">
      <c r="A24" s="73"/>
      <c r="B24" s="78" t="s">
        <v>46</v>
      </c>
      <c r="C24" s="82" t="s">
        <v>46</v>
      </c>
      <c r="D24" s="44">
        <f>Is/Im</f>
        <v>3.7038518577780146</v>
      </c>
      <c r="E24" s="94"/>
      <c r="F24" s="78"/>
      <c r="G24" s="78"/>
      <c r="H24" s="78"/>
      <c r="I24" s="100"/>
      <c r="J24" s="78"/>
      <c r="K24" s="80"/>
      <c r="L24" s="78"/>
      <c r="M24" s="60"/>
      <c r="N24" s="60"/>
      <c r="O24" s="60"/>
      <c r="P24" s="60"/>
      <c r="Q24" s="60"/>
      <c r="R24" s="60"/>
      <c r="S24" s="60"/>
    </row>
    <row r="25" spans="1:19" ht="12.75">
      <c r="A25" s="73"/>
      <c r="B25" s="78" t="s">
        <v>48</v>
      </c>
      <c r="C25" s="82" t="s">
        <v>49</v>
      </c>
      <c r="D25" s="44">
        <f>Ir*Rs</f>
        <v>320.74373448264976</v>
      </c>
      <c r="E25" s="94" t="s">
        <v>7</v>
      </c>
      <c r="F25" s="78"/>
      <c r="G25" s="78"/>
      <c r="H25" s="78"/>
      <c r="I25" s="79"/>
      <c r="J25" s="78"/>
      <c r="K25" s="80"/>
      <c r="L25" s="78"/>
      <c r="M25" s="60"/>
      <c r="N25" s="60"/>
      <c r="O25" s="60"/>
      <c r="P25" s="60"/>
      <c r="Q25" s="60"/>
      <c r="R25" s="60"/>
      <c r="S25" s="60"/>
    </row>
    <row r="26" spans="1:19" ht="13.5" customHeight="1">
      <c r="A26" s="73"/>
      <c r="B26" s="78"/>
      <c r="C26" s="75"/>
      <c r="D26" s="44"/>
      <c r="E26" s="94"/>
      <c r="F26" s="78"/>
      <c r="G26" s="78"/>
      <c r="H26" s="48">
        <f>(I18/200)^2*PI()</f>
        <v>0.16474826034690232</v>
      </c>
      <c r="I26" s="49">
        <f>H26*(I19/100)</f>
        <v>1.9835690545767038E-06</v>
      </c>
      <c r="J26" s="78"/>
      <c r="K26" s="80"/>
      <c r="L26" s="78"/>
      <c r="M26" s="60"/>
      <c r="N26" s="60"/>
      <c r="O26" s="60"/>
      <c r="P26" s="60"/>
      <c r="Q26" s="60"/>
      <c r="R26" s="60"/>
      <c r="S26" s="60"/>
    </row>
    <row r="27" spans="1:19" ht="12.75">
      <c r="A27" s="73"/>
      <c r="B27" s="96" t="s">
        <v>50</v>
      </c>
      <c r="C27" s="75"/>
      <c r="D27" s="98"/>
      <c r="E27" s="94"/>
      <c r="F27" s="78"/>
      <c r="G27" s="65"/>
      <c r="H27" s="48">
        <f>(I21/2)/200*PI()</f>
        <v>0.951439189121302</v>
      </c>
      <c r="I27" s="49">
        <f>H27*(I22/100)</f>
        <v>2.72899422311206E-09</v>
      </c>
      <c r="J27" s="78"/>
      <c r="K27" s="80"/>
      <c r="L27" s="78"/>
      <c r="M27" s="60"/>
      <c r="N27" s="60"/>
      <c r="O27" s="60"/>
      <c r="P27" s="60"/>
      <c r="Q27" s="60"/>
      <c r="R27" s="60"/>
      <c r="S27" s="60"/>
    </row>
    <row r="28" spans="1:19" ht="12.75">
      <c r="A28" s="73"/>
      <c r="B28" s="96"/>
      <c r="C28" s="75"/>
      <c r="D28" s="98"/>
      <c r="E28" s="94"/>
      <c r="F28" s="78"/>
      <c r="G28" s="65"/>
      <c r="H28" s="48"/>
      <c r="I28" s="49"/>
      <c r="J28" s="78"/>
      <c r="K28" s="80"/>
      <c r="L28" s="78"/>
      <c r="M28" s="60"/>
      <c r="N28" s="60"/>
      <c r="O28" s="60"/>
      <c r="P28" s="60"/>
      <c r="Q28" s="60"/>
      <c r="R28" s="60"/>
      <c r="S28" s="60"/>
    </row>
    <row r="29" spans="1:19" ht="12.75">
      <c r="A29" s="73"/>
      <c r="B29" s="109" t="s">
        <v>51</v>
      </c>
      <c r="C29" s="116" t="s">
        <v>52</v>
      </c>
      <c r="D29" s="89">
        <f>Fh</f>
        <v>32.28</v>
      </c>
      <c r="E29" s="90" t="s">
        <v>20</v>
      </c>
      <c r="F29" s="78"/>
      <c r="G29" s="85" t="s">
        <v>53</v>
      </c>
      <c r="H29" s="48">
        <f>(I20/200)*PI()</f>
        <v>5.419247327442394</v>
      </c>
      <c r="I29" s="49">
        <f>H29*(I22/100)/2</f>
        <v>7.771960005065681E-09</v>
      </c>
      <c r="J29" s="78"/>
      <c r="K29" s="80"/>
      <c r="L29" s="78"/>
      <c r="M29" s="60"/>
      <c r="N29" s="60"/>
      <c r="O29" s="60"/>
      <c r="P29" s="60"/>
      <c r="Q29" s="60"/>
      <c r="R29" s="60"/>
      <c r="S29" s="60"/>
    </row>
    <row r="30" spans="1:19" ht="12.75">
      <c r="A30" s="73"/>
      <c r="B30" s="109" t="s">
        <v>54</v>
      </c>
      <c r="C30" s="116" t="s">
        <v>55</v>
      </c>
      <c r="D30" s="89">
        <f>Fl</f>
        <v>22.36</v>
      </c>
      <c r="E30" s="90" t="s">
        <v>20</v>
      </c>
      <c r="F30" s="78"/>
      <c r="G30" s="78" t="s">
        <v>56</v>
      </c>
      <c r="H30" s="78"/>
      <c r="I30" s="117"/>
      <c r="J30" s="78"/>
      <c r="K30" s="80"/>
      <c r="L30" s="78"/>
      <c r="M30" s="60"/>
      <c r="N30" s="60"/>
      <c r="O30" s="60"/>
      <c r="P30" s="60"/>
      <c r="Q30" s="60"/>
      <c r="R30" s="60"/>
      <c r="S30" s="60"/>
    </row>
    <row r="31" spans="1:19" ht="12.75">
      <c r="A31" s="73"/>
      <c r="B31" s="78" t="s">
        <v>57</v>
      </c>
      <c r="C31" s="75"/>
      <c r="D31" s="44">
        <f>(D29*D30)^0.5</f>
        <v>26.865978485809894</v>
      </c>
      <c r="E31" s="94" t="s">
        <v>20</v>
      </c>
      <c r="F31" s="78"/>
      <c r="G31" s="78" t="s">
        <v>58</v>
      </c>
      <c r="H31" s="78"/>
      <c r="I31" s="79"/>
      <c r="J31" s="78"/>
      <c r="K31" s="80"/>
      <c r="L31" s="78"/>
      <c r="M31" s="60"/>
      <c r="N31" s="60"/>
      <c r="O31" s="60"/>
      <c r="P31" s="60"/>
      <c r="Q31" s="60"/>
      <c r="R31" s="60"/>
      <c r="S31" s="60"/>
    </row>
    <row r="32" spans="1:19" ht="13.5" customHeight="1">
      <c r="A32" s="73"/>
      <c r="B32" s="78"/>
      <c r="C32" s="75"/>
      <c r="D32" s="98"/>
      <c r="E32" s="82"/>
      <c r="F32" s="78"/>
      <c r="G32" s="78"/>
      <c r="H32" s="78"/>
      <c r="I32" s="79"/>
      <c r="J32" s="78"/>
      <c r="K32" s="80"/>
      <c r="L32" s="78"/>
      <c r="M32" s="60"/>
      <c r="N32" s="60"/>
      <c r="O32" s="60"/>
      <c r="P32" s="60"/>
      <c r="Q32" s="60"/>
      <c r="R32" s="60"/>
      <c r="S32" s="60"/>
    </row>
    <row r="33" spans="1:19" ht="12.75">
      <c r="A33" s="73"/>
      <c r="B33" s="78" t="s">
        <v>59</v>
      </c>
      <c r="C33" s="74" t="s">
        <v>60</v>
      </c>
      <c r="D33" s="44">
        <f>(Fs*(r0^0.5))/(Fh-Fl)</f>
        <v>5.238161642008952</v>
      </c>
      <c r="E33" s="82"/>
      <c r="F33" s="78"/>
      <c r="G33" s="78" t="s">
        <v>61</v>
      </c>
      <c r="H33" s="118">
        <f>I35/Qms</f>
        <v>8.362170373804013</v>
      </c>
      <c r="I33" s="119">
        <f>'Known Volume'!I33</f>
        <v>704.9159797542537</v>
      </c>
      <c r="J33" s="78" t="s">
        <v>62</v>
      </c>
      <c r="K33" s="80"/>
      <c r="L33" s="78"/>
      <c r="M33" s="60"/>
      <c r="N33" s="60"/>
      <c r="O33" s="60"/>
      <c r="P33" s="60"/>
      <c r="Q33" s="60"/>
      <c r="R33" s="60"/>
      <c r="S33" s="60"/>
    </row>
    <row r="34" spans="1:19" ht="12.75">
      <c r="A34" s="73"/>
      <c r="B34" s="78" t="s">
        <v>63</v>
      </c>
      <c r="C34" s="74" t="s">
        <v>64</v>
      </c>
      <c r="D34" s="44">
        <f>(Qms/(r0-1))*(Re/(Rs+Re))</f>
        <v>0.7414343074643163</v>
      </c>
      <c r="E34" s="82"/>
      <c r="F34" s="78"/>
      <c r="G34" s="78" t="s">
        <v>65</v>
      </c>
      <c r="H34" s="78"/>
      <c r="I34" s="100">
        <f>'Known Volume'!I34</f>
        <v>49.29187962842633</v>
      </c>
      <c r="J34" s="78" t="s">
        <v>66</v>
      </c>
      <c r="K34" s="80"/>
      <c r="L34" s="78"/>
      <c r="M34" s="60"/>
      <c r="N34" s="60"/>
      <c r="O34" s="60"/>
      <c r="P34" s="60"/>
      <c r="Q34" s="60"/>
      <c r="R34" s="60"/>
      <c r="S34" s="60"/>
    </row>
    <row r="35" spans="1:19" ht="12.75">
      <c r="A35" s="78"/>
      <c r="B35" s="83" t="s">
        <v>67</v>
      </c>
      <c r="C35" s="74" t="s">
        <v>68</v>
      </c>
      <c r="D35" s="44">
        <f>Qms*Qes/(Qms+Qes)</f>
        <v>0.6495008663204352</v>
      </c>
      <c r="E35" s="82"/>
      <c r="F35" s="83"/>
      <c r="G35" s="83" t="s">
        <v>69</v>
      </c>
      <c r="H35" s="83"/>
      <c r="I35" s="100">
        <f>'Known Volume'!I35</f>
        <v>43.802400096003836</v>
      </c>
      <c r="J35" s="83" t="s">
        <v>13</v>
      </c>
      <c r="K35" s="80"/>
      <c r="L35" s="78"/>
      <c r="M35" s="60"/>
      <c r="N35" s="60"/>
      <c r="O35" s="60"/>
      <c r="P35" s="60"/>
      <c r="Q35" s="60"/>
      <c r="R35" s="60"/>
      <c r="S35" s="60"/>
    </row>
    <row r="36" spans="1:19" ht="12.75">
      <c r="A36" s="120"/>
      <c r="B36" s="121"/>
      <c r="C36" s="122"/>
      <c r="D36" s="56"/>
      <c r="E36" s="123"/>
      <c r="F36" s="121"/>
      <c r="G36" s="121"/>
      <c r="H36" s="121"/>
      <c r="I36" s="124"/>
      <c r="J36" s="121"/>
      <c r="K36" s="125"/>
      <c r="L36" s="78"/>
      <c r="M36" s="60"/>
      <c r="N36" s="60"/>
      <c r="O36" s="60"/>
      <c r="P36" s="60"/>
      <c r="Q36" s="60"/>
      <c r="R36" s="60"/>
      <c r="S36" s="60"/>
    </row>
    <row r="37" spans="1:19" ht="12.75">
      <c r="A37" s="78"/>
      <c r="B37" s="78"/>
      <c r="C37" s="75"/>
      <c r="D37" s="86"/>
      <c r="E37" s="82"/>
      <c r="F37" s="78"/>
      <c r="G37" s="78"/>
      <c r="H37" s="78"/>
      <c r="I37" s="79"/>
      <c r="J37" s="78"/>
      <c r="K37" s="78"/>
      <c r="L37" s="78"/>
      <c r="M37" s="60"/>
      <c r="N37" s="60"/>
      <c r="O37" s="60"/>
      <c r="P37" s="60"/>
      <c r="Q37" s="60"/>
      <c r="R37" s="60"/>
      <c r="S37" s="60"/>
    </row>
    <row r="38" spans="1:19" ht="12.75">
      <c r="A38" s="78"/>
      <c r="B38" s="78"/>
      <c r="C38" s="75"/>
      <c r="D38" s="86"/>
      <c r="E38" s="82"/>
      <c r="F38" s="78"/>
      <c r="G38" s="78"/>
      <c r="H38" s="78"/>
      <c r="I38" s="79"/>
      <c r="J38" s="78"/>
      <c r="K38" s="78"/>
      <c r="L38" s="78"/>
      <c r="M38" s="60"/>
      <c r="N38" s="60"/>
      <c r="O38" s="60"/>
      <c r="P38" s="60"/>
      <c r="Q38" s="60"/>
      <c r="R38" s="60"/>
      <c r="S38" s="60"/>
    </row>
    <row r="39" spans="2:19" ht="12.75">
      <c r="B39" s="60"/>
      <c r="C39" s="126"/>
      <c r="D39" s="127"/>
      <c r="E39" s="128"/>
      <c r="F39" s="60"/>
      <c r="G39" s="60"/>
      <c r="H39" s="60"/>
      <c r="I39" s="129"/>
      <c r="J39" s="60"/>
      <c r="K39" s="78"/>
      <c r="L39" s="60"/>
      <c r="M39" s="60"/>
      <c r="N39" s="60"/>
      <c r="O39" s="60"/>
      <c r="P39" s="60"/>
      <c r="Q39" s="60"/>
      <c r="R39" s="60"/>
      <c r="S39" s="60"/>
    </row>
    <row r="40" spans="2:19" ht="12.75">
      <c r="B40" s="60"/>
      <c r="C40" s="126"/>
      <c r="D40" s="127"/>
      <c r="E40" s="128"/>
      <c r="F40" s="60"/>
      <c r="G40" s="60"/>
      <c r="H40" s="60"/>
      <c r="I40" s="129"/>
      <c r="J40" s="60"/>
      <c r="K40" s="78"/>
      <c r="L40" s="60"/>
      <c r="M40" s="60"/>
      <c r="N40" s="60"/>
      <c r="O40" s="60"/>
      <c r="P40" s="60"/>
      <c r="Q40" s="60"/>
      <c r="R40" s="60"/>
      <c r="S40" s="60"/>
    </row>
    <row r="41" spans="2:19" ht="12.75">
      <c r="B41" s="60"/>
      <c r="C41" s="126"/>
      <c r="D41" s="127"/>
      <c r="E41" s="128"/>
      <c r="F41" s="60"/>
      <c r="G41" s="60"/>
      <c r="H41" s="60"/>
      <c r="I41" s="129"/>
      <c r="J41" s="60"/>
      <c r="K41" s="78"/>
      <c r="L41" s="60"/>
      <c r="M41" s="60"/>
      <c r="N41" s="60"/>
      <c r="O41" s="60"/>
      <c r="P41" s="60"/>
      <c r="Q41" s="60"/>
      <c r="R41" s="60"/>
      <c r="S41" s="60"/>
    </row>
    <row r="42" spans="2:19" ht="12.75">
      <c r="B42" s="60"/>
      <c r="C42" s="126"/>
      <c r="D42" s="127"/>
      <c r="E42" s="128"/>
      <c r="F42" s="60"/>
      <c r="G42" s="60"/>
      <c r="H42" s="60"/>
      <c r="I42" s="129"/>
      <c r="J42" s="60"/>
      <c r="K42" s="78"/>
      <c r="L42" s="60"/>
      <c r="M42" s="60"/>
      <c r="N42" s="60"/>
      <c r="O42" s="60"/>
      <c r="P42" s="60"/>
      <c r="Q42" s="60"/>
      <c r="R42" s="60"/>
      <c r="S42" s="60"/>
    </row>
    <row r="43" spans="2:19" ht="12.75">
      <c r="B43" s="60"/>
      <c r="C43" s="126"/>
      <c r="D43" s="127"/>
      <c r="E43" s="128"/>
      <c r="F43" s="60"/>
      <c r="G43" s="60"/>
      <c r="H43" s="60"/>
      <c r="I43" s="129"/>
      <c r="J43" s="60"/>
      <c r="K43" s="78"/>
      <c r="L43" s="60"/>
      <c r="M43" s="60"/>
      <c r="N43" s="60"/>
      <c r="O43" s="60"/>
      <c r="P43" s="60"/>
      <c r="Q43" s="60"/>
      <c r="R43" s="60"/>
      <c r="S43" s="60"/>
    </row>
    <row r="44" spans="2:19" ht="12.75">
      <c r="B44" s="60"/>
      <c r="C44" s="126"/>
      <c r="D44" s="127"/>
      <c r="E44" s="128"/>
      <c r="F44" s="60"/>
      <c r="G44" s="60"/>
      <c r="H44" s="60"/>
      <c r="I44" s="129"/>
      <c r="J44" s="60"/>
      <c r="K44" s="78"/>
      <c r="L44" s="60"/>
      <c r="M44" s="60"/>
      <c r="N44" s="60"/>
      <c r="O44" s="60"/>
      <c r="P44" s="60"/>
      <c r="Q44" s="60"/>
      <c r="R44" s="60"/>
      <c r="S44" s="60"/>
    </row>
    <row r="45" spans="2:19" ht="12.75">
      <c r="B45" s="60"/>
      <c r="C45" s="126"/>
      <c r="D45" s="127"/>
      <c r="E45" s="128"/>
      <c r="F45" s="60"/>
      <c r="G45" s="60"/>
      <c r="H45" s="60"/>
      <c r="I45" s="129"/>
      <c r="J45" s="60"/>
      <c r="K45" s="78"/>
      <c r="L45" s="60"/>
      <c r="M45" s="60"/>
      <c r="N45" s="60"/>
      <c r="O45" s="60"/>
      <c r="P45" s="60"/>
      <c r="Q45" s="60"/>
      <c r="R45" s="60"/>
      <c r="S45" s="60"/>
    </row>
    <row r="46" spans="2:19" ht="12.75">
      <c r="B46" s="60"/>
      <c r="C46" s="126"/>
      <c r="D46" s="127"/>
      <c r="E46" s="128"/>
      <c r="F46" s="60"/>
      <c r="G46" s="60"/>
      <c r="H46" s="60"/>
      <c r="I46" s="129"/>
      <c r="J46" s="60"/>
      <c r="K46" s="78"/>
      <c r="L46" s="60"/>
      <c r="M46" s="60"/>
      <c r="N46" s="60"/>
      <c r="O46" s="60"/>
      <c r="P46" s="60"/>
      <c r="Q46" s="60"/>
      <c r="R46" s="60"/>
      <c r="S46" s="60"/>
    </row>
    <row r="47" spans="2:19" ht="12.75">
      <c r="B47" s="60"/>
      <c r="C47" s="126"/>
      <c r="D47" s="127"/>
      <c r="E47" s="128"/>
      <c r="F47" s="60"/>
      <c r="G47" s="60"/>
      <c r="H47" s="60"/>
      <c r="I47" s="129"/>
      <c r="J47" s="60"/>
      <c r="K47" s="78"/>
      <c r="L47" s="60"/>
      <c r="M47" s="60"/>
      <c r="N47" s="60"/>
      <c r="O47" s="60"/>
      <c r="P47" s="60"/>
      <c r="Q47" s="60"/>
      <c r="R47" s="60"/>
      <c r="S47" s="60"/>
    </row>
    <row r="48" spans="2:19" ht="12.75">
      <c r="B48" s="60"/>
      <c r="C48" s="126"/>
      <c r="D48" s="127"/>
      <c r="E48" s="128"/>
      <c r="F48" s="60"/>
      <c r="G48" s="60"/>
      <c r="H48" s="60"/>
      <c r="I48" s="129"/>
      <c r="J48" s="60"/>
      <c r="K48" s="78"/>
      <c r="L48" s="60"/>
      <c r="M48" s="60"/>
      <c r="N48" s="60"/>
      <c r="O48" s="60"/>
      <c r="P48" s="60"/>
      <c r="Q48" s="60"/>
      <c r="R48" s="60"/>
      <c r="S48" s="60"/>
    </row>
    <row r="49" spans="2:19" ht="12.75">
      <c r="B49" s="60"/>
      <c r="C49" s="126"/>
      <c r="D49" s="127"/>
      <c r="E49" s="128"/>
      <c r="F49" s="60"/>
      <c r="G49" s="60"/>
      <c r="H49" s="60"/>
      <c r="I49" s="129"/>
      <c r="J49" s="60"/>
      <c r="K49" s="78"/>
      <c r="L49" s="60"/>
      <c r="M49" s="60"/>
      <c r="N49" s="60"/>
      <c r="O49" s="60"/>
      <c r="P49" s="60"/>
      <c r="Q49" s="60"/>
      <c r="R49" s="60"/>
      <c r="S49" s="60"/>
    </row>
    <row r="50" spans="2:19" ht="12.75">
      <c r="B50" s="60"/>
      <c r="C50" s="126"/>
      <c r="D50" s="127"/>
      <c r="E50" s="128"/>
      <c r="F50" s="60"/>
      <c r="G50" s="60"/>
      <c r="H50" s="60"/>
      <c r="I50" s="129"/>
      <c r="J50" s="60"/>
      <c r="K50" s="78"/>
      <c r="L50" s="60"/>
      <c r="M50" s="60"/>
      <c r="N50" s="60"/>
      <c r="O50" s="60"/>
      <c r="P50" s="60"/>
      <c r="Q50" s="60"/>
      <c r="R50" s="60"/>
      <c r="S50" s="60"/>
    </row>
    <row r="51" spans="2:19" ht="12.75">
      <c r="B51" s="60"/>
      <c r="C51" s="126"/>
      <c r="D51" s="127"/>
      <c r="E51" s="128"/>
      <c r="F51" s="60"/>
      <c r="G51" s="60"/>
      <c r="H51" s="60"/>
      <c r="I51" s="129"/>
      <c r="J51" s="60"/>
      <c r="K51" s="78"/>
      <c r="L51" s="60"/>
      <c r="M51" s="60"/>
      <c r="N51" s="60"/>
      <c r="O51" s="60"/>
      <c r="P51" s="60"/>
      <c r="Q51" s="60"/>
      <c r="R51" s="60"/>
      <c r="S51" s="60"/>
    </row>
    <row r="52" spans="2:19" ht="12.75">
      <c r="B52" s="60"/>
      <c r="C52" s="126"/>
      <c r="D52" s="127"/>
      <c r="E52" s="128"/>
      <c r="F52" s="60"/>
      <c r="G52" s="60"/>
      <c r="H52" s="60"/>
      <c r="I52" s="129"/>
      <c r="J52" s="60"/>
      <c r="K52" s="78"/>
      <c r="L52" s="60"/>
      <c r="M52" s="60"/>
      <c r="N52" s="60"/>
      <c r="O52" s="60"/>
      <c r="P52" s="60"/>
      <c r="Q52" s="60"/>
      <c r="R52" s="60"/>
      <c r="S52" s="60"/>
    </row>
    <row r="53" spans="2:19" ht="12.75">
      <c r="B53" s="60"/>
      <c r="C53" s="126"/>
      <c r="D53" s="127"/>
      <c r="E53" s="128"/>
      <c r="F53" s="60"/>
      <c r="G53" s="60"/>
      <c r="H53" s="60"/>
      <c r="I53" s="129"/>
      <c r="J53" s="60"/>
      <c r="K53" s="78"/>
      <c r="L53" s="60"/>
      <c r="M53" s="60"/>
      <c r="N53" s="60"/>
      <c r="O53" s="60"/>
      <c r="P53" s="60"/>
      <c r="Q53" s="60"/>
      <c r="R53" s="60"/>
      <c r="S53" s="60"/>
    </row>
    <row r="54" spans="2:19" ht="12.75">
      <c r="B54" s="60"/>
      <c r="C54" s="126"/>
      <c r="D54" s="127"/>
      <c r="E54" s="128"/>
      <c r="F54" s="60"/>
      <c r="G54" s="60"/>
      <c r="H54" s="60"/>
      <c r="I54" s="129"/>
      <c r="J54" s="60"/>
      <c r="K54" s="78"/>
      <c r="L54" s="60"/>
      <c r="M54" s="60"/>
      <c r="N54" s="60"/>
      <c r="O54" s="60"/>
      <c r="P54" s="60"/>
      <c r="Q54" s="60"/>
      <c r="R54" s="60"/>
      <c r="S54" s="60"/>
    </row>
    <row r="55" spans="2:19" ht="12.75">
      <c r="B55" s="60"/>
      <c r="C55" s="126"/>
      <c r="D55" s="127"/>
      <c r="E55" s="128"/>
      <c r="F55" s="60"/>
      <c r="G55" s="60"/>
      <c r="H55" s="60"/>
      <c r="I55" s="129"/>
      <c r="J55" s="60"/>
      <c r="K55" s="78"/>
      <c r="L55" s="60"/>
      <c r="M55" s="60"/>
      <c r="N55" s="60"/>
      <c r="O55" s="60"/>
      <c r="P55" s="60"/>
      <c r="Q55" s="60"/>
      <c r="R55" s="60"/>
      <c r="S55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 Elliott</cp:lastModifiedBy>
  <dcterms:modified xsi:type="dcterms:W3CDTF">2020-03-15T11:40:20Z</dcterms:modified>
  <cp:category/>
  <cp:version/>
  <cp:contentType/>
  <cp:contentStatus/>
  <cp:revision>5</cp:revision>
</cp:coreProperties>
</file>